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3.xml" ContentType="application/vnd.openxmlformats-officedocument.drawing+xml"/>
  <Override PartName="/xl/drawings/drawing15.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6.xml" ContentType="application/vnd.openxmlformats-officedocument.drawing+xml"/>
  <Override PartName="/xl/drawings/drawing19.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4.xml" ContentType="application/vnd.openxmlformats-officedocument.drawing+xml"/>
  <Override PartName="/xl/drawings/drawing7.xml" ContentType="application/vnd.openxmlformats-officedocument.drawing+xml"/>
  <Override PartName="/xl/drawings/drawing21.xml" ContentType="application/vnd.openxmlformats-officedocument.drawing+xml"/>
  <Override PartName="/xl/drawings/drawing8.xml" ContentType="application/vnd.openxmlformats-officedocument.drawing+xml"/>
  <Override PartName="/xl/drawings/drawing17.xml" ContentType="application/vnd.openxmlformats-officedocument.drawing+xml"/>
  <Override PartName="/xl/drawings/drawing9.xml" ContentType="application/vnd.openxmlformats-officedocument.drawing+xml"/>
  <Override PartName="/xl/drawings/drawing22.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0.xml" ContentType="application/vnd.openxmlformats-officedocument.drawing+xml"/>
  <Override PartName="/xl/drawings/drawing12.xml" ContentType="application/vnd.openxmlformats-officedocument.drawing+xml"/>
  <Override PartName="/xl/drawings/drawing18.xml" ContentType="application/vnd.openxmlformats-officedocument.drawing+xml"/>
  <Override PartName="/xl/drawings/drawing13.xml" ContentType="application/vnd.openxmlformats-officedocument.drawing+xml"/>
  <Override PartName="/xl/drawings/drawing25.xml" ContentType="application/vnd.openxmlformats-officedocument.drawing+xml"/>
  <Override PartName="/xl/drawings/drawing14.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1.xml" ContentType="application/vnd.openxmlformats-officedocument.spreadsheetml.workshee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ustomProperty1.bin" ContentType="application/vnd.openxmlformats-officedocument.spreadsheetml.customProperty"/>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ustomProperty2.bin" ContentType="application/vnd.openxmlformats-officedocument.spreadsheetml.customProperty"/>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199.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2.xml" ContentType="application/vnd.ms-excel.controlproperties+xml"/>
  <Override PartName="/xl/customProperty4.bin" ContentType="application/vnd.openxmlformats-officedocument.spreadsheetml.customProperty"/>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omments9.xml" ContentType="application/vnd.openxmlformats-officedocument.spreadsheetml.comments+xml"/>
  <Override PartName="/xl/customProperty5.bin" ContentType="application/vnd.openxmlformats-officedocument.spreadsheetml.customProperty"/>
  <Override PartName="/xl/ctrlProps/ctrlProp6.xml" ContentType="application/vnd.ms-excel.controlproperties+xml"/>
  <Override PartName="/xl/customProperty6.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5.xml" ContentType="application/vnd.openxmlformats-officedocument.spreadsheetml.comment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6.xml" ContentType="application/vnd.openxmlformats-officedocument.spreadsheetml.comment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7.xml" ContentType="application/vnd.openxmlformats-officedocument.spreadsheetml.comment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8.xml" ContentType="application/vnd.openxmlformats-officedocument.spreadsheetml.comment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14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C:\Users\ChristinaBanks\ThinkWell\TW - Storage\2. Programs\Global_Gates Hub\3. Community of practice\4. Website and social media\2. Resource landing pages\Tools\"/>
    </mc:Choice>
  </mc:AlternateContent>
  <xr:revisionPtr revIDLastSave="0" documentId="8_{02DCCB7A-9F66-4560-BADD-4284ADF5DC3B}" xr6:coauthVersionLast="47" xr6:coauthVersionMax="47" xr10:uidLastSave="{00000000-0000-0000-0000-000000000000}"/>
  <bookViews>
    <workbookView xWindow="28680" yWindow="-120" windowWidth="51840" windowHeight="21120" tabRatio="893" xr2:uid="{00000000-000D-0000-FFFF-FFFF00000000}"/>
  </bookViews>
  <sheets>
    <sheet name="Cover" sheetId="9" r:id="rId1"/>
    <sheet name="Contents" sheetId="8" r:id="rId2"/>
    <sheet name="Home" sheetId="274" r:id="rId3"/>
    <sheet name="1" sheetId="222" r:id="rId4"/>
    <sheet name="DASHBOARD" sheetId="275" r:id="rId5"/>
    <sheet name="SD-Analysis" sheetId="282" r:id="rId6"/>
    <sheet name="Graphs" sheetId="288" r:id="rId7"/>
    <sheet name="INCREMENTAL" sheetId="284" r:id="rId8"/>
    <sheet name="FINANCING" sheetId="290" r:id="rId9"/>
    <sheet name="2" sheetId="68" r:id="rId10"/>
    <sheet name="Time_Period" sheetId="6" r:id="rId11"/>
    <sheet name="Financial" sheetId="231" r:id="rId12"/>
    <sheet name="Labels" sheetId="171" r:id="rId13"/>
    <sheet name="TGT_POPS" sheetId="271" r:id="rId14"/>
    <sheet name="MICRO" sheetId="235" r:id="rId15"/>
    <sheet name="PROCUR" sheetId="228" r:id="rId16"/>
    <sheet name="DISTRIB" sheetId="278" r:id="rId17"/>
    <sheet name="TRAIN" sheetId="272" r:id="rId18"/>
    <sheet name="IEC" sheetId="273" r:id="rId19"/>
    <sheet name="SD_IMM" sheetId="237" r:id="rId20"/>
    <sheet name="SUPV" sheetId="247" r:id="rId21"/>
    <sheet name="Other" sheetId="249" r:id="rId22"/>
    <sheet name="COLD" sheetId="242" r:id="rId23"/>
    <sheet name="3" sheetId="287" r:id="rId24"/>
    <sheet name="MICROPLANNING_BA" sheetId="182" r:id="rId25"/>
    <sheet name="DISTRIBUTION_BA" sheetId="280" r:id="rId26"/>
    <sheet name="TRAINING_BA" sheetId="184" r:id="rId27"/>
    <sheet name="SOC_MOB_BA" sheetId="188" r:id="rId28"/>
    <sheet name="SUPERV_BA" sheetId="195" r:id="rId29"/>
    <sheet name="SD_ROUTINE_BA" sheetId="187" r:id="rId30"/>
    <sheet name="SD_SIA_BA" sheetId="202" r:id="rId31"/>
    <sheet name="OTHER_BA" sheetId="203" r:id="rId32"/>
    <sheet name="App_SC" sheetId="3" r:id="rId33"/>
    <sheet name="Reference_Data_BA" sheetId="209" r:id="rId34"/>
    <sheet name="Cost_Ingredients" sheetId="179" r:id="rId35"/>
    <sheet name="Doc_SSC" sheetId="69" r:id="rId36"/>
    <sheet name="About_Flutool_P_MS" sheetId="253" r:id="rId37"/>
    <sheet name="About_Flu_BO" sheetId="74" r:id="rId38"/>
    <sheet name="LU_SSC" sheetId="70" state="hidden" r:id="rId39"/>
    <sheet name="TS_LU" sheetId="10" state="hidden" r:id="rId40"/>
    <sheet name="FLU_LU" sheetId="177" state="hidden" r:id="rId41"/>
    <sheet name="Chks_SSC" sheetId="71" r:id="rId42"/>
    <sheet name="Chks_BO" sheetId="2" r:id="rId43"/>
  </sheets>
  <definedNames>
    <definedName name="Alt_Chks_Msg">Chks_BO!$I$41</definedName>
    <definedName name="Alt_Chks_Ttl_Areas">Chks_BO!$M$45</definedName>
    <definedName name="BA_Alt_Chks" hidden="1">Chks_BO!$35:$45</definedName>
    <definedName name="BA_Err_Chks" hidden="1">Chks_BO!$5:$23</definedName>
    <definedName name="BA_Sens_Chks" hidden="1">Chks_BO!$24:$34</definedName>
    <definedName name="CA_Alt_Chks">Chks_BO!$K$44</definedName>
    <definedName name="CA_Alt_Chks_Area_Names">Chks_BO!$C$44</definedName>
    <definedName name="CA_Alt_Chks_Flags">Chks_BO!$M$44</definedName>
    <definedName name="CA_Alt_Chks_Inc">Chks_BO!$L$44</definedName>
    <definedName name="CA_Err_Chks">Chks_BO!$K$15:$K$21</definedName>
    <definedName name="CA_Err_Chks_Area_Names">Chks_BO!$C$15:$C$21</definedName>
    <definedName name="CA_Err_Chks_Flags">Chks_BO!$M$15:$M$21</definedName>
    <definedName name="CA_Err_Chks_Inc">Chks_BO!$L$15:$L$21</definedName>
    <definedName name="CA_Sens_Chks">Chks_BO!$K$33</definedName>
    <definedName name="CA_Sens_Chks_Area_Names">Chks_BO!$C$33</definedName>
    <definedName name="CA_Sens_Chks_Flags">Chks_BO!$M$33</definedName>
    <definedName name="CA_Sens_Chks_Inc">Chks_BO!$L$33</definedName>
    <definedName name="CB_Alt_Chks_Show_Msg">Chks_BO!$C$39</definedName>
    <definedName name="CB_Err_Chks_Show_Msg">Chks_BO!$C$9</definedName>
    <definedName name="CB_Sens_Chks_Show_Msg">Chks_BO!$C$28</definedName>
    <definedName name="CB_Vacc_MethodA">Cover!$J$6</definedName>
    <definedName name="COST_PER_FIP">DASHBOARD!$F$6</definedName>
    <definedName name="DASH_COSTS">DASHBOARD!$F$44</definedName>
    <definedName name="DASH_OUTCOMES">DASHBOARD!$F$16</definedName>
    <definedName name="Dashboard">DASHBOARD!$A$1</definedName>
    <definedName name="DD_FLU_CAP_GROUPA_1">Cost_Ingredients!$H$178</definedName>
    <definedName name="DD_FLU_CAP_GROUPA_2">Cost_Ingredients!$H$179</definedName>
    <definedName name="DD_FLU_CAP_GROUPA_3">Cost_Ingredients!$H$180</definedName>
    <definedName name="DD_FLU_CAP_GROUPA_4">Cost_Ingredients!$H$181</definedName>
    <definedName name="DD_FLU_CAP_GROUPA_5">Cost_Ingredients!$H$182</definedName>
    <definedName name="DD_FLU_CAP_GROUPA_6">Cost_Ingredients!$H$183</definedName>
    <definedName name="DD_FLU_CAP_PRICES_GROUP_C_1">Cost_Ingredients!$H$205</definedName>
    <definedName name="DD_FLU_CAP_PRICES_GROUP_C_10">Cost_Ingredients!$H$214</definedName>
    <definedName name="DD_FLU_CAP_PRICES_GROUP_C_11">Cost_Ingredients!$H$215</definedName>
    <definedName name="DD_FLU_CAP_PRICES_GROUP_C_2">Cost_Ingredients!$H$206</definedName>
    <definedName name="DD_FLU_CAP_PRICES_GROUP_C_3">Cost_Ingredients!$H$207</definedName>
    <definedName name="DD_FLU_CAP_PRICES_GROUP_C_4">Cost_Ingredients!$H$208</definedName>
    <definedName name="DD_FLU_CAP_PRICES_GROUP_C_5">Cost_Ingredients!$H$209</definedName>
    <definedName name="DD_FLU_CAP_PRICES_GROUP_C_6">Cost_Ingredients!$H$210</definedName>
    <definedName name="DD_FLU_CAP_PRICES_GROUP_C_7">Cost_Ingredients!$H$211</definedName>
    <definedName name="DD_FLU_CAP_PRICES_GROUP_C_8">Cost_Ingredients!$H$212</definedName>
    <definedName name="DD_FLU_CAP_PRICES_GROUP_C_9">Cost_Ingredients!$H$213</definedName>
    <definedName name="DD_FLU_CAP_PRICES_GROUP_D_1">Cost_Ingredients!$H$223</definedName>
    <definedName name="DD_FLU_CAP_PRICES_GROUP_D_2">Cost_Ingredients!$H$224</definedName>
    <definedName name="DD_FLU_CAP_PRICES_GROUP_D_3">Cost_Ingredients!$H$225</definedName>
    <definedName name="DD_FLU_CAP_PRICES_GROUP_D_4">Cost_Ingredients!$H$226</definedName>
    <definedName name="DD_FLU_CAP_PRICES_GROUP_D_5">Cost_Ingredients!$H$227</definedName>
    <definedName name="DD_FLU_CAP_PRICES_GROUPB_1">Cost_Ingredients!$H$191</definedName>
    <definedName name="DD_FLU_CAP_PRICES_GROUPB_2">Cost_Ingredients!$H$192</definedName>
    <definedName name="DD_FLU_CAP_PRICES_GROUPB_3">Cost_Ingredients!$H$193</definedName>
    <definedName name="DD_FLU_CAP_PRICES_GROUPB_4">Cost_Ingredients!$H$194</definedName>
    <definedName name="DD_FLU_CAP_PRICES_GROUPB_5">Cost_Ingredients!$H$195</definedName>
    <definedName name="DD_FLU_CAP_PRICES_GROUPB_6">Cost_Ingredients!$H$196</definedName>
    <definedName name="DD_FLU_CAP_PRICES_GROUPB_7">Cost_Ingredients!$H$197</definedName>
    <definedName name="DD_FLU_DETAIL_MICRO_A_1">MICROPLANNING_BA!$D$18</definedName>
    <definedName name="DD_FLU_DETAIL_MICRO_A_10">MICROPLANNING_BA!$D$27</definedName>
    <definedName name="DD_FLU_DETAIL_MICRO_A_11">MICROPLANNING_BA!$D$28</definedName>
    <definedName name="DD_FLU_DETAIL_MICRO_A_12">MICROPLANNING_BA!$D$29</definedName>
    <definedName name="DD_FLU_DETAIL_MICRO_A_13">MICROPLANNING_BA!$D$30</definedName>
    <definedName name="DD_FLU_DETAIL_MICRO_A_14">MICROPLANNING_BA!$D$31</definedName>
    <definedName name="DD_FLU_DETAIL_MICRO_A_15">MICROPLANNING_BA!$D$32</definedName>
    <definedName name="DD_FLU_DETAIL_MICRO_A_2">MICROPLANNING_BA!$D$19</definedName>
    <definedName name="DD_FLU_DETAIL_MICRO_A_3">MICROPLANNING_BA!$D$20</definedName>
    <definedName name="DD_FLU_DETAIL_MICRO_A_4">MICROPLANNING_BA!$D$21</definedName>
    <definedName name="DD_FLU_DETAIL_MICRO_A_5">MICROPLANNING_BA!$D$22</definedName>
    <definedName name="DD_FLU_DETAIL_MICRO_A_6">MICROPLANNING_BA!$D$23</definedName>
    <definedName name="DD_FLU_DETAIL_MICRO_A_7">MICROPLANNING_BA!$D$24</definedName>
    <definedName name="DD_FLU_DETAIL_MICRO_A_8">MICROPLANNING_BA!$D$25</definedName>
    <definedName name="DD_FLU_DETAIL_MICRO_A_9">MICROPLANNING_BA!$D$26</definedName>
    <definedName name="DD_FLU_DETAILED_MICRO_B_PERS_1">MICROPLANNING_BA!$D$103</definedName>
    <definedName name="DD_FLU_DETAILED_MICRO_B_PERS_10">MICROPLANNING_BA!$D$112</definedName>
    <definedName name="DD_FLU_DETAILED_MICRO_B_PERS_11">MICROPLANNING_BA!$D$113</definedName>
    <definedName name="DD_FLU_DETAILED_MICRO_B_PERS_12">MICROPLANNING_BA!$D$114</definedName>
    <definedName name="DD_FLU_DETAILED_MICRO_B_PERS_13">MICROPLANNING_BA!$D$115</definedName>
    <definedName name="DD_FLU_DETAILED_MICRO_B_PERS_14">MICROPLANNING_BA!$D$116</definedName>
    <definedName name="DD_FLU_DETAILED_MICRO_B_PERS_15">MICROPLANNING_BA!$D$117</definedName>
    <definedName name="DD_FLU_DETAILED_MICRO_B_PERS_2">MICROPLANNING_BA!$D$104</definedName>
    <definedName name="DD_FLU_DETAILED_MICRO_B_PERS_3">MICROPLANNING_BA!$D$105</definedName>
    <definedName name="DD_FLU_DETAILED_MICRO_B_PERS_4">MICROPLANNING_BA!$D$106</definedName>
    <definedName name="DD_FLU_DETAILED_MICRO_B_PERS_5">MICROPLANNING_BA!$D$107</definedName>
    <definedName name="DD_FLU_DETAILED_MICRO_B_PERS_6">MICROPLANNING_BA!$D$108</definedName>
    <definedName name="DD_FLU_DETAILED_MICRO_B_PERS_7">MICROPLANNING_BA!$D$109</definedName>
    <definedName name="DD_FLU_DETAILED_MICRO_B_PERS_8">MICROPLANNING_BA!$D$110</definedName>
    <definedName name="DD_FLU_DETAILED_MICRO_B_PERS_9">MICROPLANNING_BA!$D$111</definedName>
    <definedName name="DD_FLU_Detailed_Micro_Time_1">MICROPLANNING_BA!$I$18</definedName>
    <definedName name="DD_FLU_Detailed_Micro_Time_10">MICROPLANNING_BA!$I$27</definedName>
    <definedName name="DD_FLU_Detailed_Micro_Time_11">MICROPLANNING_BA!$I$28</definedName>
    <definedName name="DD_FLU_Detailed_Micro_Time_12">MICROPLANNING_BA!$I$29</definedName>
    <definedName name="DD_FLU_Detailed_Micro_Time_13">MICROPLANNING_BA!$I$30</definedName>
    <definedName name="DD_FLU_Detailed_Micro_Time_14">MICROPLANNING_BA!$I$31</definedName>
    <definedName name="DD_FLU_Detailed_Micro_Time_15">MICROPLANNING_BA!$I$32</definedName>
    <definedName name="DD_FLU_Detailed_Micro_Time_2">MICROPLANNING_BA!$I$19</definedName>
    <definedName name="DD_FLU_Detailed_Micro_Time_3">MICROPLANNING_BA!$I$20</definedName>
    <definedName name="DD_FLU_Detailed_Micro_Time_4">MICROPLANNING_BA!$I$21</definedName>
    <definedName name="DD_FLU_Detailed_Micro_Time_5">MICROPLANNING_BA!$I$22</definedName>
    <definedName name="DD_FLU_Detailed_Micro_Time_6">MICROPLANNING_BA!$I$23</definedName>
    <definedName name="DD_FLU_Detailed_Micro_Time_7">MICROPLANNING_BA!$I$24</definedName>
    <definedName name="DD_FLU_Detailed_Micro_Time_8">MICROPLANNING_BA!$I$25</definedName>
    <definedName name="DD_FLU_Detailed_Micro_Time_9">MICROPLANNING_BA!$I$26</definedName>
    <definedName name="DD_FLU_DISTR_A_CURRENCY">DISTRIB!$G$30</definedName>
    <definedName name="DD_FLU_DISTR_B_CURRENCY">DISTRIB!$G$60</definedName>
    <definedName name="DD_FLU_DISTR_C_CURRENCY">DISTRIB!$G$88</definedName>
    <definedName name="DD_FLU_IEC_A_CURRENCY">IEC!$G$27</definedName>
    <definedName name="DD_FLU_IEC_B_CURRENCY">IEC!$G$54</definedName>
    <definedName name="DD_FLU_IEC_C_CURRENCY">IEC!$G$81</definedName>
    <definedName name="DD_FLU_MICRO_1">MICRO!$G$27</definedName>
    <definedName name="DD_FLU_MICRO_B_CURRENCY">MICRO!$G$55</definedName>
    <definedName name="DD_FLU_Micro_Pers_Time_Unit_1">MICROPLANNING_BA!$I$18</definedName>
    <definedName name="DD_FLU_Micro_Pers_Time_Unit_10">MICROPLANNING_BA!$I$27</definedName>
    <definedName name="DD_FLU_Micro_Pers_Time_Unit_11">MICROPLANNING_BA!$I$28</definedName>
    <definedName name="DD_FLU_Micro_Pers_Time_Unit_12">MICROPLANNING_BA!$I$29</definedName>
    <definedName name="DD_FLU_Micro_Pers_Time_Unit_13">MICROPLANNING_BA!$I$30</definedName>
    <definedName name="DD_FLU_Micro_Pers_Time_Unit_14">MICROPLANNING_BA!$I$31</definedName>
    <definedName name="DD_FLU_Micro_Pers_Time_Unit_15">MICROPLANNING_BA!$I$32</definedName>
    <definedName name="DD_FLU_Micro_Pers_Time_Unit_2">MICROPLANNING_BA!$I$19</definedName>
    <definedName name="DD_FLU_Micro_Pers_Time_Unit_3">MICROPLANNING_BA!$I$20</definedName>
    <definedName name="DD_FLU_Micro_Pers_Time_Unit_4">MICROPLANNING_BA!$I$21</definedName>
    <definedName name="DD_FLU_Micro_Pers_Time_Unit_5">MICROPLANNING_BA!$I$22</definedName>
    <definedName name="DD_FLU_Micro_Pers_Time_Unit_6">MICROPLANNING_BA!$I$23</definedName>
    <definedName name="DD_FLU_Micro_Pers_Time_Unit_7">MICROPLANNING_BA!$I$24</definedName>
    <definedName name="DD_FLU_Micro_Pers_Time_Unit_8">MICROPLANNING_BA!$I$25</definedName>
    <definedName name="DD_FLU_Micro_Pers_Time_Unit_9">MICROPLANNING_BA!$I$26</definedName>
    <definedName name="DD_FLU_MICROA_SUPPL_1">MICROPLANNING_BA!$D$56</definedName>
    <definedName name="DD_FLU_MICROA_SUPPL_10">MICROPLANNING_BA!$D$65</definedName>
    <definedName name="DD_FLU_MICROA_SUPPL_11">MICROPLANNING_BA!$D$66</definedName>
    <definedName name="DD_FLU_MICROA_SUPPL_12">MICROPLANNING_BA!$D$67</definedName>
    <definedName name="DD_FLU_MICROA_SUPPL_13">MICROPLANNING_BA!$D$68</definedName>
    <definedName name="DD_FLU_MICROA_SUPPL_14">MICROPLANNING_BA!$D$69</definedName>
    <definedName name="DD_FLU_MICROA_SUPPL_15">MICROPLANNING_BA!$D$70</definedName>
    <definedName name="DD_FLU_MICROA_SUPPL_2">MICROPLANNING_BA!$D$57</definedName>
    <definedName name="DD_FLU_MICROA_SUPPL_3">MICROPLANNING_BA!$D$58</definedName>
    <definedName name="DD_FLU_MICROA_SUPPL_4">MICROPLANNING_BA!$D$59</definedName>
    <definedName name="DD_FLU_MICROA_SUPPL_5">MICROPLANNING_BA!$D$60</definedName>
    <definedName name="DD_FLU_MICROA_SUPPL_6">MICROPLANNING_BA!$D$61</definedName>
    <definedName name="DD_FLU_MICROA_SUPPL_7">MICROPLANNING_BA!$D$62</definedName>
    <definedName name="DD_FLU_MICROA_SUPPL_8">MICROPLANNING_BA!$D$63</definedName>
    <definedName name="DD_FLU_MICROA_SUPPL_9">MICROPLANNING_BA!$D$64</definedName>
    <definedName name="DD_FLU_MICROB_ALLOW_1">MICROPLANNING_BA!$D$122</definedName>
    <definedName name="DD_FLU_MICROB_ALLOW_10">MICROPLANNING_BA!$D$131</definedName>
    <definedName name="DD_FLU_MICROB_ALLOW_11">MICROPLANNING_BA!$D$132</definedName>
    <definedName name="DD_FLU_MICROB_ALLOW_12">MICROPLANNING_BA!$D$133</definedName>
    <definedName name="DD_FLU_MICROB_ALLOW_13">MICROPLANNING_BA!$D$134</definedName>
    <definedName name="DD_FLU_MICROB_ALLOW_14">MICROPLANNING_BA!$D$135</definedName>
    <definedName name="DD_FLU_MICROB_ALLOW_15">MICROPLANNING_BA!$D$136</definedName>
    <definedName name="DD_FLU_MICROB_ALLOW_2">MICROPLANNING_BA!$D$123</definedName>
    <definedName name="DD_FLU_MICROB_ALLOW_3">MICROPLANNING_BA!$D$124</definedName>
    <definedName name="DD_FLU_MICROB_ALLOW_4">MICROPLANNING_BA!$D$125</definedName>
    <definedName name="DD_FLU_MICROB_ALLOW_5">MICROPLANNING_BA!$D$126</definedName>
    <definedName name="DD_FLU_MICROB_ALLOW_6">MICROPLANNING_BA!$D$127</definedName>
    <definedName name="DD_FLU_MICROB_ALLOW_7">MICROPLANNING_BA!$D$128</definedName>
    <definedName name="DD_FLU_MICROB_ALLOW_8">MICROPLANNING_BA!$D$129</definedName>
    <definedName name="DD_FLU_MICROB_ALLOW_9">MICROPLANNING_BA!$D$130</definedName>
    <definedName name="DD_FLU_MICROB_ODC_1">MICROPLANNING_BA!$D$160</definedName>
    <definedName name="DD_FLU_MICROB_ODC_10">MICROPLANNING_BA!$D$169</definedName>
    <definedName name="DD_FLU_MICROB_ODC_11">MICROPLANNING_BA!$D$170</definedName>
    <definedName name="DD_FLU_MICROB_ODC_12">MICROPLANNING_BA!$D$171</definedName>
    <definedName name="DD_FLU_MICROB_ODC_13">MICROPLANNING_BA!$D$172</definedName>
    <definedName name="DD_FLU_MICROB_ODC_14">MICROPLANNING_BA!$D$173</definedName>
    <definedName name="DD_FLU_MICROB_ODC_15">MICROPLANNING_BA!$D$174</definedName>
    <definedName name="DD_FLU_MICROB_ODC_2">MICROPLANNING_BA!$D$161</definedName>
    <definedName name="DD_FLU_MICROB_ODC_3">MICROPLANNING_BA!$D$162</definedName>
    <definedName name="DD_FLU_MICROB_ODC_4">MICROPLANNING_BA!$D$163</definedName>
    <definedName name="DD_FLU_MICROB_ODC_5">MICROPLANNING_BA!$D$164</definedName>
    <definedName name="DD_FLU_MICROB_ODC_6">MICROPLANNING_BA!$D$165</definedName>
    <definedName name="DD_FLU_MICROB_ODC_7">MICROPLANNING_BA!$D$166</definedName>
    <definedName name="DD_FLU_MICROB_ODC_8">MICROPLANNING_BA!$D$167</definedName>
    <definedName name="DD_FLU_MICROB_ODC_9">MICROPLANNING_BA!$D$168</definedName>
    <definedName name="DD_FLU_MICROB_PERS_TIME_1">MICROPLANNING_BA!$I$103</definedName>
    <definedName name="DD_FLU_MICROB_PERS_TIME_10">MICROPLANNING_BA!$I$112</definedName>
    <definedName name="DD_FLU_MICROB_PERS_TIME_11">MICROPLANNING_BA!$I$113</definedName>
    <definedName name="DD_FLU_MICROB_PERS_TIME_12">MICROPLANNING_BA!$I$114</definedName>
    <definedName name="DD_FLU_MICROB_PERS_TIME_13">MICROPLANNING_BA!$I$115</definedName>
    <definedName name="DD_FLU_MICROB_PERS_TIME_14">MICROPLANNING_BA!$I$116</definedName>
    <definedName name="DD_FLU_MICROB_PERS_TIME_15">MICROPLANNING_BA!$I$117</definedName>
    <definedName name="DD_FLU_MICROB_PERS_TIME_2">MICROPLANNING_BA!$I$104</definedName>
    <definedName name="DD_FLU_MICROB_PERS_TIME_3">MICROPLANNING_BA!$I$105</definedName>
    <definedName name="DD_FLU_MICROB_PERS_TIME_4">MICROPLANNING_BA!$I$106</definedName>
    <definedName name="DD_FLU_MICROB_PERS_TIME_5">MICROPLANNING_BA!$I$107</definedName>
    <definedName name="DD_FLU_MICROB_PERS_TIME_6">MICROPLANNING_BA!$I$108</definedName>
    <definedName name="DD_FLU_MICROB_PERS_TIME_7">MICROPLANNING_BA!$I$109</definedName>
    <definedName name="DD_FLU_MICROB_PERS_TIME_8">MICROPLANNING_BA!$I$110</definedName>
    <definedName name="DD_FLU_MICROB_PERS_TIME_9">MICROPLANNING_BA!$I$111</definedName>
    <definedName name="DD_FLU_MICROB_SUPP_1">MICROPLANNING_BA!$D$141</definedName>
    <definedName name="DD_FLU_MICROB_SUPP_10">MICROPLANNING_BA!$D$150</definedName>
    <definedName name="DD_FLU_MICROB_SUPP_11">MICROPLANNING_BA!$D$151</definedName>
    <definedName name="DD_FLU_MICROB_SUPP_12">MICROPLANNING_BA!$D$152</definedName>
    <definedName name="DD_FLU_MICROB_SUPP_13">MICROPLANNING_BA!$D$153</definedName>
    <definedName name="DD_FLU_MICROB_SUPP_14">MICROPLANNING_BA!$D$154</definedName>
    <definedName name="DD_FLU_MICROB_SUPP_15">MICROPLANNING_BA!$D$155</definedName>
    <definedName name="DD_FLU_MICROB_SUPP_2">MICROPLANNING_BA!$D$142</definedName>
    <definedName name="DD_FLU_MICROB_SUPP_3">MICROPLANNING_BA!$D$143</definedName>
    <definedName name="DD_FLU_MICROB_SUPP_4">MICROPLANNING_BA!$D$144</definedName>
    <definedName name="DD_FLU_MICROB_SUPP_5">MICROPLANNING_BA!$D$145</definedName>
    <definedName name="DD_FLU_MICROB_SUPP_6">MICROPLANNING_BA!$D$146</definedName>
    <definedName name="DD_FLU_MICROB_SUPP_7">MICROPLANNING_BA!$D$147</definedName>
    <definedName name="DD_FLU_MICROB_SUPP_8">MICROPLANNING_BA!$D$148</definedName>
    <definedName name="DD_FLU_MICROB_SUPP_9">MICROPLANNING_BA!$D$149</definedName>
    <definedName name="DD_FLU_MICROC_ALLOW_1">MICROPLANNING_BA!$D$207</definedName>
    <definedName name="DD_FLU_MICROC_ALLOW_10">MICROPLANNING_BA!$D$216</definedName>
    <definedName name="DD_FLU_MICROC_ALLOW_11">MICROPLANNING_BA!$D$217</definedName>
    <definedName name="DD_FLU_MICROC_ALLOW_12">MICROPLANNING_BA!$D$218</definedName>
    <definedName name="DD_FLU_MICROC_ALLOW_13">MICROPLANNING_BA!$D$219</definedName>
    <definedName name="DD_FLU_MICROC_ALLOW_14">MICROPLANNING_BA!$D$220</definedName>
    <definedName name="DD_FLU_MICROC_ALLOW_15">MICROPLANNING_BA!$D$221</definedName>
    <definedName name="DD_FLU_MICROC_ALLOW_2">MICROPLANNING_BA!$D$208</definedName>
    <definedName name="DD_FLU_MICROC_ALLOW_3">MICROPLANNING_BA!$D$209</definedName>
    <definedName name="DD_FLU_MICROC_ALLOW_4">MICROPLANNING_BA!$D$210</definedName>
    <definedName name="DD_FLU_MICROC_ALLOW_5">MICROPLANNING_BA!$D$211</definedName>
    <definedName name="DD_FLU_MICROC_ALLOW_6">MICROPLANNING_BA!$D$212</definedName>
    <definedName name="DD_FLU_MICROC_ALLOW_7">MICROPLANNING_BA!$D$213</definedName>
    <definedName name="DD_FLU_MICROC_ALLOW_8">MICROPLANNING_BA!$D$214</definedName>
    <definedName name="DD_FLU_MICROC_ALLOW_9">MICROPLANNING_BA!$D$215</definedName>
    <definedName name="DD_FLU_MicroC_Currency">MICRO!$G$83</definedName>
    <definedName name="DD_FLU_MICROC_PERSONNEL_1">MICROPLANNING_BA!$D$188</definedName>
    <definedName name="DD_FLU_MICROC_PERSONNEL_10">MICROPLANNING_BA!$D$197</definedName>
    <definedName name="DD_FLU_MICROC_PERSONNEL_11">MICROPLANNING_BA!$D$198</definedName>
    <definedName name="DD_FLU_MICROC_PERSONNEL_12">MICROPLANNING_BA!$D$199</definedName>
    <definedName name="DD_FLU_MICROC_PERSONNEL_13">MICROPLANNING_BA!$D$200</definedName>
    <definedName name="DD_FLU_MICROC_PERSONNEL_14">MICROPLANNING_BA!$D$201</definedName>
    <definedName name="DD_FLU_MICROC_PERSONNEL_15">MICROPLANNING_BA!$D$202</definedName>
    <definedName name="DD_FLU_MICROC_PERSONNEL_2">MICROPLANNING_BA!$D$189</definedName>
    <definedName name="DD_FLU_MICROC_PERSONNEL_3">MICROPLANNING_BA!$D$190</definedName>
    <definedName name="DD_FLU_MICROC_PERSONNEL_4">MICROPLANNING_BA!$D$191</definedName>
    <definedName name="DD_FLU_MICROC_PERSONNEL_5">MICROPLANNING_BA!$D$192</definedName>
    <definedName name="DD_FLU_MICROC_PERSONNEL_6">MICROPLANNING_BA!$D$193</definedName>
    <definedName name="DD_FLU_MICROC_PERSONNEL_7">MICROPLANNING_BA!$D$194</definedName>
    <definedName name="DD_FLU_MICROC_PERSONNEL_8">MICROPLANNING_BA!$D$195</definedName>
    <definedName name="DD_FLU_MICROC_PERSONNEL_9">MICROPLANNING_BA!$D$196</definedName>
    <definedName name="DD_FLU_MonEval_Activ_A_Group_C1">SUPERV_BA!$D$34</definedName>
    <definedName name="DD_FLU_MonEval_Activ_A_Group_C2">SUPERV_BA!$D$35</definedName>
    <definedName name="DD_FLU_MonEval_Activ_A_Group_C3">SUPERV_BA!$D$36</definedName>
    <definedName name="DD_FLU_MonEval_Activ_A_Group_C4">SUPERV_BA!$D$37</definedName>
    <definedName name="DD_FLU_MonEval_Activ_A_Group_C5">SUPERV_BA!$D$38</definedName>
    <definedName name="DD_FLU_MonEval_Activ_A_Group_D1">SUPERV_BA!$D$43</definedName>
    <definedName name="DD_FLU_MonEval_Activ_A_Group_D10">SUPERV_BA!$D$52</definedName>
    <definedName name="DD_FLU_MonEval_Activ_A_Group_D2">SUPERV_BA!$D$44</definedName>
    <definedName name="DD_FLU_MonEval_Activ_A_Group_D3">SUPERV_BA!$D$45</definedName>
    <definedName name="DD_FLU_MonEval_Activ_A_Group_D4">SUPERV_BA!$D$46</definedName>
    <definedName name="DD_FLU_MonEval_Activ_A_Group_D5">SUPERV_BA!$D$47</definedName>
    <definedName name="DD_FLU_MonEval_Activ_A_Group_D6">SUPERV_BA!$D$48</definedName>
    <definedName name="DD_FLU_MonEval_Activ_A_Group_D7">SUPERV_BA!$D$49</definedName>
    <definedName name="DD_FLU_MonEval_Activ_A_Group_D8">SUPERV_BA!$D$50</definedName>
    <definedName name="DD_FLU_MonEval_Activ_A_Group_D9">SUPERV_BA!$D$51</definedName>
    <definedName name="DD_FLU_MonEval_Activ_A_Group_E1">SUPERV_BA!$D$57</definedName>
    <definedName name="DD_FLU_MonEval_Activ_A_Group_E2">SUPERV_BA!$D$58</definedName>
    <definedName name="DD_FLU_MonEval_Activ_A_Group_E3">SUPERV_BA!$D$59</definedName>
    <definedName name="DD_FLU_MonEval_Activ_A_Group_E4">SUPERV_BA!$D$60</definedName>
    <definedName name="DD_FLU_MonEval_Activ_A_Group_E5">SUPERV_BA!$D$61</definedName>
    <definedName name="DD_FLU_MonEval_Activ_A_Group_E6">SUPERV_BA!$D$62</definedName>
    <definedName name="DD_FLU_MonEval_Activ_A_Group_E7">SUPERV_BA!$D$63</definedName>
    <definedName name="DD_FLU_MonEval_Activ_A_Group_E8">SUPERV_BA!$D$64</definedName>
    <definedName name="DD_FLU_MonEval_Activ_A_Group_E9">SUPERV_BA!$D$65</definedName>
    <definedName name="DD_FLU_MonEval_Activ_B_Group_B1">SUPERV_BA!$D$77</definedName>
    <definedName name="DD_FLU_MonEval_Activ_B_Group_B2">SUPERV_BA!$D$78</definedName>
    <definedName name="DD_FLU_MonEval_Activ_B_Group_B3">SUPERV_BA!$D$79</definedName>
    <definedName name="DD_FLU_MonEval_Activ_B_Group_B4">SUPERV_BA!$D$80</definedName>
    <definedName name="DD_FLU_MonEval_Activ_B_Group_B5">SUPERV_BA!$D$81</definedName>
    <definedName name="DD_FLU_MonEval_Activ_B_Group_B6">SUPERV_BA!$D$82</definedName>
    <definedName name="DD_FLU_MonEval_Activ_B_Group_C1">SUPERV_BA!$D$87</definedName>
    <definedName name="DD_FLU_MonEval_Activ_B_Group_C2">SUPERV_BA!$D$88</definedName>
    <definedName name="DD_FLU_MonEval_Activ_B_Group_C3">SUPERV_BA!$D$89</definedName>
    <definedName name="DD_FLU_MonEval_Activ_B_Group_C4">SUPERV_BA!$D$90</definedName>
    <definedName name="DD_FLU_MonEval_Activ_B_Group_C5">SUPERV_BA!$D$91</definedName>
    <definedName name="DD_FLU_MonEval_Activ_B_Group_C6">SUPERV_BA!$D$92</definedName>
    <definedName name="DD_FLU_MonEval_Activ_B_Group_D1">SUPERV_BA!$D$97</definedName>
    <definedName name="DD_FLU_MonEval_Activ_B_Group_D10">SUPERV_BA!$D$106</definedName>
    <definedName name="DD_FLU_MonEval_Activ_B_Group_D2">SUPERV_BA!$D$98</definedName>
    <definedName name="DD_FLU_MonEval_Activ_B_Group_D3">SUPERV_BA!$D$99</definedName>
    <definedName name="DD_FLU_MonEval_Activ_B_Group_D4">SUPERV_BA!$D$100</definedName>
    <definedName name="DD_FLU_MonEval_Activ_B_Group_D5">SUPERV_BA!$D$101</definedName>
    <definedName name="DD_FLU_MonEval_Activ_B_Group_D6">SUPERV_BA!$D$102</definedName>
    <definedName name="DD_FLU_MonEval_Activ_B_Group_D7">SUPERV_BA!$D$103</definedName>
    <definedName name="DD_FLU_MonEval_Activ_B_Group_D8">SUPERV_BA!$D$104</definedName>
    <definedName name="DD_FLU_MonEval_Activ_B_Group_D9">SUPERV_BA!$D$105</definedName>
    <definedName name="DD_FLU_MonEval_Activ_B_Group_E1">SUPERV_BA!$D$111</definedName>
    <definedName name="DD_FLU_MonEval_Activ_B_Group_E2">SUPERV_BA!$D$112</definedName>
    <definedName name="DD_FLU_MonEval_Activ_B_Group_E3">SUPERV_BA!$D$113</definedName>
    <definedName name="DD_FLU_MonEval_Activ_B_Group_E4">SUPERV_BA!$D$114</definedName>
    <definedName name="DD_FLU_MonEval_Activ_B_Group_E5">SUPERV_BA!$D$115</definedName>
    <definedName name="DD_FLU_MonEval_Activ_B_Group_E6">SUPERV_BA!$D$116</definedName>
    <definedName name="DD_FLU_MonEval_Activ_B_Group_E7">SUPERV_BA!$D$117</definedName>
    <definedName name="DD_FLU_ODC_A_GroupB_1">OTHER_BA!$D$15</definedName>
    <definedName name="DD_FLU_ODC_A_GroupB_10">OTHER_BA!$D$24</definedName>
    <definedName name="DD_FLU_ODC_A_GroupB_11">OTHER_BA!$D$25</definedName>
    <definedName name="DD_FLU_ODC_A_GroupB_12">OTHER_BA!$D$26</definedName>
    <definedName name="DD_FLU_ODC_A_GroupB_13">OTHER_BA!$D$27</definedName>
    <definedName name="DD_FLU_ODC_A_GroupB_14">OTHER_BA!$D$28</definedName>
    <definedName name="DD_FLU_ODC_A_GroupB_15">OTHER_BA!$D$29</definedName>
    <definedName name="DD_FLU_ODC_A_GroupB_2">OTHER_BA!$D$16</definedName>
    <definedName name="DD_FLU_ODC_A_GroupB_3">OTHER_BA!$D$17</definedName>
    <definedName name="DD_FLU_ODC_A_GroupB_4">OTHER_BA!$D$18</definedName>
    <definedName name="DD_FLU_ODC_A_GroupB_5">OTHER_BA!$D$19</definedName>
    <definedName name="DD_FLU_ODC_A_GroupB_6">OTHER_BA!$D$20</definedName>
    <definedName name="DD_FLU_ODC_A_GroupB_7">OTHER_BA!$D$21</definedName>
    <definedName name="DD_FLU_ODC_A_GroupB_8">OTHER_BA!$D$22</definedName>
    <definedName name="DD_FLU_ODC_A_GroupB_9">OTHER_BA!$D$23</definedName>
    <definedName name="DD_FLU_ODC_A_GroupC_1">OTHER_BA!$D$34</definedName>
    <definedName name="DD_FLU_ODC_A_GroupC_10">OTHER_BA!$D$43</definedName>
    <definedName name="DD_FLU_ODC_A_GroupC_2">OTHER_BA!$D$35</definedName>
    <definedName name="DD_FLU_ODC_A_GroupC_3">OTHER_BA!$D$36</definedName>
    <definedName name="DD_FLU_ODC_A_GroupC_4">OTHER_BA!$D$37</definedName>
    <definedName name="DD_FLU_ODC_A_GroupC_5">OTHER_BA!$D$38</definedName>
    <definedName name="DD_FLU_ODC_A_GroupC_6">OTHER_BA!$D$39</definedName>
    <definedName name="DD_FLU_ODC_A_GroupC_7">OTHER_BA!$D$40</definedName>
    <definedName name="DD_FLU_ODC_A_GroupC_8">OTHER_BA!$D$41</definedName>
    <definedName name="DD_FLU_ODC_A_GroupC_9">OTHER_BA!$D$42</definedName>
    <definedName name="DD_FLU_ODC_A_GroupD_1">OTHER_BA!$D$48</definedName>
    <definedName name="DD_FLU_ODC_A_GroupD_2">OTHER_BA!$D$49</definedName>
    <definedName name="DD_FLU_ODC_A_GroupD_3">OTHER_BA!$D$50</definedName>
    <definedName name="DD_FLU_ODC_A_GroupD_4">OTHER_BA!$D$51</definedName>
    <definedName name="DD_FLU_ODC_A_GroupD_5">OTHER_BA!$D$52</definedName>
    <definedName name="DD_FLU_ODC_A_GroupD_6">OTHER_BA!$D$53</definedName>
    <definedName name="DD_FLU_ODC_A_GroupD_7">OTHER_BA!$D$54</definedName>
    <definedName name="DD_FLU_ODC_A_GroupD_8">OTHER_BA!$D$55</definedName>
    <definedName name="DD_FLU_ODC_A_GroupD_9">OTHER_BA!$D$56</definedName>
    <definedName name="DD_FLU_ODC_A_GroupE_1">OTHER_BA!$D$61</definedName>
    <definedName name="DD_FLU_ODC_A_GroupE_2">OTHER_BA!$D$62</definedName>
    <definedName name="DD_FLU_ODC_A_GroupE_3">OTHER_BA!$D$63</definedName>
    <definedName name="DD_FLU_ODC_A_GroupE_4">OTHER_BA!$D$64</definedName>
    <definedName name="DD_FLU_ODC_A_GroupE_5">OTHER_BA!$D$65</definedName>
    <definedName name="DD_FLU_ODC_A_GroupE_6">OTHER_BA!$D$66</definedName>
    <definedName name="DD_FLU_ODC_A_GroupE_7">OTHER_BA!$D$67</definedName>
    <definedName name="DD_FLU_ODC_A_GroupE_8">OTHER_BA!$D$68</definedName>
    <definedName name="DD_FLU_ODC_A_GroupE_9">OTHER_BA!$D$69</definedName>
    <definedName name="DD_FLU_OTHER_A_CURRENCY">Other!$G$33</definedName>
    <definedName name="DD_FLU_OTHER_B_CURRENCY">Other!$G$60</definedName>
    <definedName name="DD_FLU_OTHER_C_CURRENCY">Other!$G$87</definedName>
    <definedName name="DD_FLU_OTHER_D_CURRENCY">Other!$G$114</definedName>
    <definedName name="DD_FLU_OTHER_E_CURRENCY">Other!$G$149</definedName>
    <definedName name="DD_FLU_OTHER_F_CURRENCY">Other!$G$186</definedName>
    <definedName name="DD_FLU_SD_A_CURRENCY">SD_IMM!$G$67</definedName>
    <definedName name="DD_FLU_SD_B_CURRENCY">SD_IMM!$G$136</definedName>
    <definedName name="DD_FLU_SD_C_CURRENCY">SD_IMM!$G$207</definedName>
    <definedName name="DD_FLU_SD_D_CURRENCY">SD_IMM!$G$273</definedName>
    <definedName name="DD_FLU_SD_E_CURRENCY">SD_IMM!$G$338</definedName>
    <definedName name="DD_FLU_SD_F_CURRENCY">SD_IMM!$G$405</definedName>
    <definedName name="DD_FLU_SOCMOB_2_GROUP_B_1">SOC_MOB_BA!$D$78</definedName>
    <definedName name="DD_FLU_SOCMOB_2_GROUP_B_2">SOC_MOB_BA!$D$79</definedName>
    <definedName name="DD_FLU_SOCMOB_2_GROUP_B_3">SOC_MOB_BA!$D$80</definedName>
    <definedName name="DD_FLU_SOCMOB_2_GROUP_B_4">SOC_MOB_BA!$D$81</definedName>
    <definedName name="DD_FLU_SOCMOB_2_GROUP_B_5">SOC_MOB_BA!$D$82</definedName>
    <definedName name="DD_FLU_SOCMOB_2_GROUP_B_6">SOC_MOB_BA!$D$83</definedName>
    <definedName name="DD_FLU_SOCMOB_2_GROUP_C_1">SOC_MOB_BA!$D$88</definedName>
    <definedName name="DD_FLU_SOCMOB_2_GROUP_C_2">SOC_MOB_BA!$D$89</definedName>
    <definedName name="DD_FLU_SOCMOB_2_GROUP_C_3">SOC_MOB_BA!$D$90</definedName>
    <definedName name="DD_FLU_SOCMOB_2_GROUP_C_4">SOC_MOB_BA!$D$91</definedName>
    <definedName name="DD_FLU_SOCMOB_2_GROUP_C_5">SOC_MOB_BA!$D$92</definedName>
    <definedName name="DD_FLU_SOCMOB_2_GROUP_C_6">SOC_MOB_BA!$D$93</definedName>
    <definedName name="DD_FLU_SOCMOB_2_GROUP_D_1">SOC_MOB_BA!$D$98</definedName>
    <definedName name="DD_FLU_SOCMOB_2_GROUP_D_10">SOC_MOB_BA!$D$107</definedName>
    <definedName name="DD_FLU_SOCMOB_2_GROUP_D_2">SOC_MOB_BA!$D$99</definedName>
    <definedName name="DD_FLU_SOCMOB_2_GROUP_D_3">SOC_MOB_BA!$D$100</definedName>
    <definedName name="DD_FLU_SOCMOB_2_GROUP_D_4">SOC_MOB_BA!$D$101</definedName>
    <definedName name="DD_FLU_SOCMOB_2_GROUP_D_5">SOC_MOB_BA!$D$102</definedName>
    <definedName name="DD_FLU_SOCMOB_2_GROUP_D_6">SOC_MOB_BA!$D$103</definedName>
    <definedName name="DD_FLU_SOCMOB_2_GROUP_D_7">SOC_MOB_BA!$D$104</definedName>
    <definedName name="DD_FLU_SOCMOB_2_GROUP_D_8">SOC_MOB_BA!$D$105</definedName>
    <definedName name="DD_FLU_SOCMOB_2_GROUP_D_9">SOC_MOB_BA!$D$106</definedName>
    <definedName name="DD_FLU_SOCMOB_2_GROUP_E_1">SOC_MOB_BA!$D$112</definedName>
    <definedName name="DD_FLU_SOCMOB_2_GROUP_E_2">SOC_MOB_BA!$D$113</definedName>
    <definedName name="DD_FLU_SOCMOB_2_GROUP_E_3">SOC_MOB_BA!$D$114</definedName>
    <definedName name="DD_FLU_SOCMOB_2_GROUP_E_4">SOC_MOB_BA!$D$115</definedName>
    <definedName name="DD_FLU_SOCMOB_2_GROUP_E_5">SOC_MOB_BA!$D$116</definedName>
    <definedName name="DD_FLU_SOCMOB_2_GROUP_E_6">SOC_MOB_BA!$D$117</definedName>
    <definedName name="DD_FLU_SOCMOB_2_GROUP_E_7">SOC_MOB_BA!$D$118</definedName>
    <definedName name="DD_FLU_SOCMOB_C_GROUP_B_1">SOC_MOB_BA!$D$131</definedName>
    <definedName name="DD_FLU_SOCMOB_C_GROUP_B_2">SOC_MOB_BA!$D$132</definedName>
    <definedName name="DD_FLU_SOCMOB_C_GROUP_B_3">SOC_MOB_BA!$D$133</definedName>
    <definedName name="DD_FLU_SOCMOB_C_GROUP_B_4">SOC_MOB_BA!$D$134</definedName>
    <definedName name="DD_FLU_SOCMOB_C_GROUP_B_5">SOC_MOB_BA!$D$135</definedName>
    <definedName name="DD_FLU_SOCMOB_C_GROUP_B_6">SOC_MOB_BA!$D$136</definedName>
    <definedName name="DD_FLU_SOCMOB_C_GROUP_C_1">SOC_MOB_BA!$D$141</definedName>
    <definedName name="DD_FLU_SOCMOB_C_GROUP_C_2">SOC_MOB_BA!$D$142</definedName>
    <definedName name="DD_FLU_SOCMOB_C_GROUP_C_3">SOC_MOB_BA!$D$143</definedName>
    <definedName name="DD_FLU_SOCMOB_C_GROUP_C_4">SOC_MOB_BA!$D$144</definedName>
    <definedName name="DD_FLU_SOCMOB_C_GROUP_C_5">SOC_MOB_BA!$D$145</definedName>
    <definedName name="DD_FLU_SOCMOB_C_GROUP_C_6">SOC_MOB_BA!$D$146</definedName>
    <definedName name="DD_FLU_SOCMOB_C_GROUP_D_1">SOC_MOB_BA!$D$151</definedName>
    <definedName name="DD_FLU_SOCMOB_C_GROUP_D_10">SOC_MOB_BA!$D$160</definedName>
    <definedName name="DD_FLU_SOCMOB_C_GROUP_D_2">SOC_MOB_BA!$D$152</definedName>
    <definedName name="DD_FLU_SOCMOB_C_GROUP_D_3">SOC_MOB_BA!$D$153</definedName>
    <definedName name="DD_FLU_SOCMOB_C_GROUP_D_4">SOC_MOB_BA!$D$154</definedName>
    <definedName name="DD_FLU_SOCMOB_C_GROUP_D_5">SOC_MOB_BA!$D$155</definedName>
    <definedName name="DD_FLU_SOCMOB_C_GROUP_D_6">SOC_MOB_BA!$D$156</definedName>
    <definedName name="DD_FLU_SOCMOB_C_GROUP_D_7">SOC_MOB_BA!$D$157</definedName>
    <definedName name="DD_FLU_SOCMOB_C_GROUP_D_8">SOC_MOB_BA!$D$158</definedName>
    <definedName name="DD_FLU_SOCMOB_C_GROUP_D_9">SOC_MOB_BA!$D$159</definedName>
    <definedName name="DD_FLU_SOCMOB_C_GROUP_E_1">SOC_MOB_BA!$D$165</definedName>
    <definedName name="DD_FLU_SOCMOB_C_GROUP_E_2">SOC_MOB_BA!$D$166</definedName>
    <definedName name="DD_FLU_SOCMOB_C_GROUP_E_3">SOC_MOB_BA!$D$167</definedName>
    <definedName name="DD_FLU_SOCMOB_C_GROUP_E_4">SOC_MOB_BA!$D$168</definedName>
    <definedName name="DD_FLU_SOCMOB_C_GROUP_E_5">SOC_MOB_BA!$D$169</definedName>
    <definedName name="DD_FLU_SOCMOB_C_GROUP_E_6">SOC_MOB_BA!$D$170</definedName>
    <definedName name="DD_FLU_SOCMOB_C_GROUP_E_7">SOC_MOB_BA!$D$171</definedName>
    <definedName name="DD_FLU_SOCMOB1_GROUP_B_1">SOC_MOB_BA!$D$16</definedName>
    <definedName name="DD_FLU_SOCMOB1_GROUP_B_10">SOC_MOB_BA!$D$25</definedName>
    <definedName name="DD_FLU_SOCMOB1_GROUP_B_11">SOC_MOB_BA!$D$26</definedName>
    <definedName name="DD_FLU_SOCMOB1_GROUP_B_12">SOC_MOB_BA!$D$27</definedName>
    <definedName name="DD_FLU_SOCMOB1_GROUP_B_13">SOC_MOB_BA!$D$28</definedName>
    <definedName name="DD_FLU_SOCMOB1_GROUP_B_14">SOC_MOB_BA!$D$29</definedName>
    <definedName name="DD_FLU_SOCMOB1_GROUP_B_15">SOC_MOB_BA!$D$30</definedName>
    <definedName name="DD_FLU_SOCMOB1_GROUP_B_2">SOC_MOB_BA!$D$17</definedName>
    <definedName name="DD_FLU_SOCMOB1_GROUP_B_3">SOC_MOB_BA!$D$18</definedName>
    <definedName name="DD_FLU_SOCMOB1_GROUP_B_4">SOC_MOB_BA!$D$19</definedName>
    <definedName name="DD_FLU_SOCMOB1_GROUP_B_5">SOC_MOB_BA!$D$20</definedName>
    <definedName name="DD_FLU_SOCMOB1_GROUP_B_6">SOC_MOB_BA!$D$21</definedName>
    <definedName name="DD_FLU_SOCMOB1_GROUP_B_7">SOC_MOB_BA!$D$22</definedName>
    <definedName name="DD_FLU_SOCMOB1_GROUP_B_8">SOC_MOB_BA!$D$23</definedName>
    <definedName name="DD_FLU_SOCMOB1_GROUP_B_9">SOC_MOB_BA!$D$24</definedName>
    <definedName name="DD_FLU_SOCMOB1_GROUP_C_1">SOC_MOB_BA!$D$35</definedName>
    <definedName name="DD_FLU_SOCMOB1_GROUP_C_2">SOC_MOB_BA!$D$36</definedName>
    <definedName name="DD_FLU_SOCMOB1_GROUP_C_3">SOC_MOB_BA!$D$37</definedName>
    <definedName name="DD_FLU_SOCMOB1_GROUP_C_4">SOC_MOB_BA!$D$38</definedName>
    <definedName name="DD_FLU_SOCMOB1_GROUP_C_5">SOC_MOB_BA!$D$39</definedName>
    <definedName name="DD_FLU_SOCMOB1_GROUP_D_1">SOC_MOB_BA!$D$44</definedName>
    <definedName name="DD_FLU_SOCMOB1_GROUP_D_10">SOC_MOB_BA!$D$53</definedName>
    <definedName name="DD_FLU_SOCMOB1_GROUP_D_2">SOC_MOB_BA!$D$45</definedName>
    <definedName name="DD_FLU_SOCMOB1_GROUP_D_3">SOC_MOB_BA!$D$46</definedName>
    <definedName name="DD_FLU_SOCMOB1_GROUP_D_4">SOC_MOB_BA!$D$47</definedName>
    <definedName name="DD_FLU_SOCMOB1_GROUP_D_5">SOC_MOB_BA!$D$48</definedName>
    <definedName name="DD_FLU_SOCMOB1_GROUP_D_6">SOC_MOB_BA!$D$49</definedName>
    <definedName name="DD_FLU_SOCMOB1_GROUP_D_7">SOC_MOB_BA!$D$50</definedName>
    <definedName name="DD_FLU_SOCMOB1_GROUP_D_8">SOC_MOB_BA!$D$51</definedName>
    <definedName name="DD_FLU_SOCMOB1_GROUP_D_9">SOC_MOB_BA!$D$52</definedName>
    <definedName name="DD_FLU_SOCMOB1_GROUP_E_1">SOC_MOB_BA!$D$58</definedName>
    <definedName name="DD_FLU_SOCMOB1_GROUP_E_2">SOC_MOB_BA!$D$59</definedName>
    <definedName name="DD_FLU_SOCMOB1_GROUP_E_3">SOC_MOB_BA!$D$60</definedName>
    <definedName name="DD_FLU_SOCMOB1_GROUP_E_4">SOC_MOB_BA!$D$61</definedName>
    <definedName name="DD_FLU_SOCMOB1_GROUP_E_5">SOC_MOB_BA!$D$62</definedName>
    <definedName name="DD_FLU_SOCMOB1_GROUP_E_6">SOC_MOB_BA!$D$63</definedName>
    <definedName name="DD_FLU_SOCMOB1_GROUP_E_7">SOC_MOB_BA!$D$64</definedName>
    <definedName name="DD_FLU_SOCMOB1_GROUP_E_8">SOC_MOB_BA!$D$65</definedName>
    <definedName name="DD_FLU_SOCMOB1_GROUP_E_9">SOC_MOB_BA!$D$66</definedName>
    <definedName name="DD_FLU_SupMon_C_Allow1">SUPERV_BA!$D$140</definedName>
    <definedName name="DD_FLU_SupMon_C_Allow2">SUPERV_BA!$D$141</definedName>
    <definedName name="DD_FLU_SupMon_C_Allow3">SUPERV_BA!$D$142</definedName>
    <definedName name="DD_FLU_SupMon_C_Allow4">SUPERV_BA!$D$143</definedName>
    <definedName name="DD_FLU_SupMon_C_Allow5">SUPERV_BA!$D$144</definedName>
    <definedName name="DD_FLU_SupMon_C_Allow6">SUPERV_BA!$D$145</definedName>
    <definedName name="DD_FLU_SupMon_C_ODC1">SUPERV_BA!$D$164</definedName>
    <definedName name="DD_FLU_SupMon_C_ODC2">SUPERV_BA!$D$165</definedName>
    <definedName name="DD_FLU_SupMon_C_ODC3">SUPERV_BA!$D$166</definedName>
    <definedName name="DD_FLU_SupMon_C_ODC4">SUPERV_BA!$D$167</definedName>
    <definedName name="DD_FLU_SupMon_C_ODC5">SUPERV_BA!$D$168</definedName>
    <definedName name="DD_FLU_SupMon_C_ODC6">SUPERV_BA!$D$169</definedName>
    <definedName name="DD_FLU_SupMon_C_ODC7">SUPERV_BA!$D$170</definedName>
    <definedName name="DD_FLU_SupMon_C_Pers1">SUPERV_BA!$D$130</definedName>
    <definedName name="DD_FLU_SupMon_C_Pers2">SUPERV_BA!$D$131</definedName>
    <definedName name="DD_FLU_SupMon_C_Pers3">SUPERV_BA!$D$132</definedName>
    <definedName name="DD_FLU_SupMon_C_Pers4">SUPERV_BA!$D$133</definedName>
    <definedName name="DD_FLU_SupMon_C_Pers5">SUPERV_BA!$D$134</definedName>
    <definedName name="DD_FLU_SupMon_C_Pers6">SUPERV_BA!$D$135</definedName>
    <definedName name="DD_FLU_SupMon_C_Supp1">SUPERV_BA!$D$150</definedName>
    <definedName name="DD_FLU_SupMon_C_Supp10">SUPERV_BA!$D$159</definedName>
    <definedName name="DD_FLU_SupMon_C_Supp2">SUPERV_BA!$D$151</definedName>
    <definedName name="DD_FLU_SupMon_C_Supp3">SUPERV_BA!$D$152</definedName>
    <definedName name="DD_FLU_SupMon_C_Supp4">SUPERV_BA!$D$153</definedName>
    <definedName name="DD_FLU_SupMon_C_Supp5">SUPERV_BA!$D$154</definedName>
    <definedName name="DD_FLU_SupMon_C_Supp6">SUPERV_BA!$D$155</definedName>
    <definedName name="DD_FLU_SupMon_C_Supp7">SUPERV_BA!$D$156</definedName>
    <definedName name="DD_FLU_SupMon_C_Supp8">SUPERV_BA!$D$157</definedName>
    <definedName name="DD_FLU_SupMon_C_Supp9">SUPERV_BA!$D$158</definedName>
    <definedName name="DD_FLU_SUPV_A_CURRENCY">SUPV!$G$27</definedName>
    <definedName name="DD_FLU_SUPV_B_CURRENCY">SUPV!$G$54</definedName>
    <definedName name="DD_FLU_SUPV_C_CURRENCY">SUPV!$G$81</definedName>
    <definedName name="DD_FLU_TRAIN_A_CURRENCY">TRAIN!$G$27</definedName>
    <definedName name="DD_FLU_TRAIN_B_CURRENCY">TRAIN!$G$54</definedName>
    <definedName name="DD_FLU_TRAIN_C_CURRENCY">TRAIN!$G$81</definedName>
    <definedName name="DD_FLU_TRAIN_C_GROUP_B_1">TRAINING_BA!$D$126</definedName>
    <definedName name="DD_FLU_TRAIN_C_GROUP_B_2">TRAINING_BA!$D$127</definedName>
    <definedName name="DD_FLU_TRAIN_C_GROUP_B_3">TRAINING_BA!$D$128</definedName>
    <definedName name="DD_FLU_TRAIN_C_GROUP_B_4">TRAINING_BA!$D$129</definedName>
    <definedName name="DD_FLU_TRAIN_C_GROUP_B_5">TRAINING_BA!$D$130</definedName>
    <definedName name="DD_FLU_TRAIN_C_GROUP_B_6">TRAINING_BA!$D$131</definedName>
    <definedName name="DD_FLU_TRAIN_C_GROUP_C_1">TRAINING_BA!$D$136</definedName>
    <definedName name="DD_FLU_TRAIN_C_GROUP_C_2">TRAINING_BA!$D$137</definedName>
    <definedName name="DD_FLU_TRAIN_C_GROUP_C_3">TRAINING_BA!$D$138</definedName>
    <definedName name="DD_FLU_TRAIN_C_GROUP_C_4">TRAINING_BA!$D$139</definedName>
    <definedName name="DD_FLU_TRAIN_C_GROUP_C_5">TRAINING_BA!$D$140</definedName>
    <definedName name="DD_FLU_TRAIN_C_GROUP_C_6">TRAINING_BA!$D$141</definedName>
    <definedName name="DD_FLU_TRAIN_C_GROUP_D_1">TRAINING_BA!$D$146</definedName>
    <definedName name="DD_FLU_TRAIN_C_GROUP_D_10">TRAINING_BA!$D$155</definedName>
    <definedName name="DD_FLU_TRAIN_C_GROUP_D_2">TRAINING_BA!$D$147</definedName>
    <definedName name="DD_FLU_TRAIN_C_GROUP_D_3">TRAINING_BA!$D$148</definedName>
    <definedName name="DD_FLU_TRAIN_C_GROUP_D_4">TRAINING_BA!$D$149</definedName>
    <definedName name="DD_FLU_TRAIN_C_GROUP_D_5">TRAINING_BA!$D$150</definedName>
    <definedName name="DD_FLU_TRAIN_C_GROUP_D_6">TRAINING_BA!$D$151</definedName>
    <definedName name="DD_FLU_TRAIN_C_GROUP_D_7">TRAINING_BA!$D$152</definedName>
    <definedName name="DD_FLU_TRAIN_C_GROUP_D_8">TRAINING_BA!$D$153</definedName>
    <definedName name="DD_FLU_TRAIN_C_GROUP_D_9">TRAINING_BA!$D$154</definedName>
    <definedName name="DD_FLU_TRAIN_C_GROUP_E_1">TRAINING_BA!$D$160</definedName>
    <definedName name="DD_FLU_TRAIN_C_GROUP_E_2">TRAINING_BA!$D$161</definedName>
    <definedName name="DD_FLU_TRAIN_C_GROUP_E_3">TRAINING_BA!$D$162</definedName>
    <definedName name="DD_FLU_TRAIN_C_GROUP_E_4">TRAINING_BA!$D$163</definedName>
    <definedName name="DD_FLU_TRAIN_C_GROUP_E_5">TRAINING_BA!$D$164</definedName>
    <definedName name="DD_FLU_TRAIN_C_GROUP_E_6">TRAINING_BA!$D$165</definedName>
    <definedName name="DD_FLU_TRAIN_C_GROUP_E_7">TRAINING_BA!$D$166</definedName>
    <definedName name="DD_FLU_TRAIN_GROUP_B_1">TRAINING_BA!$D$13</definedName>
    <definedName name="DD_FLU_TRAIN_GROUP_B_10">TRAINING_BA!$D$22</definedName>
    <definedName name="DD_FLU_TRAIN_GROUP_B_11">TRAINING_BA!$D$23</definedName>
    <definedName name="DD_FLU_TRAIN_GROUP_B_12">TRAINING_BA!$D$24</definedName>
    <definedName name="DD_FLU_TRAIN_GROUP_B_13">TRAINING_BA!$D$25</definedName>
    <definedName name="DD_FLU_TRAIN_GROUP_B_14">TRAINING_BA!$D$26</definedName>
    <definedName name="DD_FLU_TRAIN_GROUP_B_15">TRAINING_BA!$D$27</definedName>
    <definedName name="DD_FLU_TRAIN_GROUP_B_2">TRAINING_BA!$D$14</definedName>
    <definedName name="DD_FLU_TRAIN_GROUP_B_3">TRAINING_BA!$D$15</definedName>
    <definedName name="DD_FLU_TRAIN_GROUP_B_4">TRAINING_BA!$D$16</definedName>
    <definedName name="DD_FLU_TRAIN_GROUP_B_5">TRAINING_BA!$D$17</definedName>
    <definedName name="DD_FLU_TRAIN_GROUP_B_6">TRAINING_BA!$D$18</definedName>
    <definedName name="DD_FLU_TRAIN_GROUP_B_7">TRAINING_BA!$D$19</definedName>
    <definedName name="DD_FLU_TRAIN_GROUP_B_8">TRAINING_BA!$D$20</definedName>
    <definedName name="DD_FLU_TRAIN_GROUP_B_9">TRAINING_BA!$D$21</definedName>
    <definedName name="DD_FLU_TRAIN_GROUP_C_1">TRAINING_BA!$D$32</definedName>
    <definedName name="DD_FLU_TRAIN_GROUP_C_2">TRAINING_BA!$D$33</definedName>
    <definedName name="DD_FLU_TRAIN_GROUP_C_3">TRAINING_BA!$D$34</definedName>
    <definedName name="DD_FLU_TRAIN_GROUP_C_4">TRAINING_BA!$D$35</definedName>
    <definedName name="DD_FLU_TRAIN_GROUP_C_5">TRAINING_BA!$D$36</definedName>
    <definedName name="DD_FLU_TRAIN_GROUP_D_1">TRAINING_BA!$D$41</definedName>
    <definedName name="DD_FLU_TRAIN_GROUP_D_10">TRAINING_BA!$D$50</definedName>
    <definedName name="DD_FLU_TRAIN_GROUP_D_2">TRAINING_BA!$D$42</definedName>
    <definedName name="DD_FLU_TRAIN_GROUP_D_3">TRAINING_BA!$D$43</definedName>
    <definedName name="DD_FLU_TRAIN_GROUP_D_4">TRAINING_BA!$D$44</definedName>
    <definedName name="DD_FLU_TRAIN_GROUP_D_5">TRAINING_BA!$D$45</definedName>
    <definedName name="DD_FLU_TRAIN_GROUP_D_6">TRAINING_BA!$D$46</definedName>
    <definedName name="DD_FLU_TRAIN_GROUP_D_7">TRAINING_BA!$D$47</definedName>
    <definedName name="DD_FLU_TRAIN_GROUP_D_8">TRAINING_BA!$D$48</definedName>
    <definedName name="DD_FLU_TRAIN_GROUP_D_9">TRAINING_BA!$D$49</definedName>
    <definedName name="DD_FLU_TRAIN_GROUP_E_1">TRAINING_BA!$D$55</definedName>
    <definedName name="DD_FLU_TRAIN_GROUP_E_2">TRAINING_BA!$D$56</definedName>
    <definedName name="DD_FLU_TRAIN_GROUP_E_3">TRAINING_BA!$D$57</definedName>
    <definedName name="DD_FLU_TRAIN_GROUP_E_4">TRAINING_BA!$D$58</definedName>
    <definedName name="DD_FLU_TRAIN_GROUP_E_5">TRAINING_BA!$D$59</definedName>
    <definedName name="DD_FLU_TRAIN_GROUP_E_6">TRAINING_BA!$D$60</definedName>
    <definedName name="DD_FLU_TRAIN_GROUP_E_7">TRAINING_BA!$D$61</definedName>
    <definedName name="DD_FLU_TRAIN_GROUP_E_8">TRAINING_BA!$D$62</definedName>
    <definedName name="DD_FLU_TRAIN_GROUP_E_9">TRAINING_BA!$D$63</definedName>
    <definedName name="DD_FLU_TRAIN2_GROUP_B_1">TRAINING_BA!$D$75</definedName>
    <definedName name="DD_FLU_TRAIN2_GROUP_B_2">TRAINING_BA!$D$76</definedName>
    <definedName name="DD_FLU_TRAIN2_GROUP_B_3">TRAINING_BA!$D$77</definedName>
    <definedName name="DD_FLU_TRAIN2_GROUP_B_4">TRAINING_BA!$D$78</definedName>
    <definedName name="DD_FLU_TRAIN2_GROUP_B_5">TRAINING_BA!$D$79</definedName>
    <definedName name="DD_FLU_TRAIN2_GROUP_B_6">TRAINING_BA!$D$80</definedName>
    <definedName name="DD_FLU_TRAIN2_GROUP_C_1">TRAINING_BA!$D$85</definedName>
    <definedName name="DD_FLU_TRAIN2_GROUP_C_2">TRAINING_BA!$D$86</definedName>
    <definedName name="DD_FLU_TRAIN2_GROUP_C_3">TRAINING_BA!$D$87</definedName>
    <definedName name="DD_FLU_TRAIN2_GROUP_C_4">TRAINING_BA!$D$88</definedName>
    <definedName name="DD_FLU_TRAIN2_GROUP_C_5">TRAINING_BA!$D$89</definedName>
    <definedName name="DD_FLU_TRAIN2_GROUP_C_6">TRAINING_BA!$D$90</definedName>
    <definedName name="DD_FLU_TRAIN2_GROUP_D_1">TRAINING_BA!$D$95</definedName>
    <definedName name="DD_FLU_TRAIN2_GROUP_D_10">TRAINING_BA!$D$104</definedName>
    <definedName name="DD_FLU_TRAIN2_GROUP_D_2">TRAINING_BA!$D$96</definedName>
    <definedName name="DD_FLU_TRAIN2_GROUP_D_3">TRAINING_BA!$D$97</definedName>
    <definedName name="DD_FLU_TRAIN2_GROUP_D_4">TRAINING_BA!$D$98</definedName>
    <definedName name="DD_FLU_TRAIN2_GROUP_D_5">TRAINING_BA!$D$99</definedName>
    <definedName name="DD_FLU_TRAIN2_GROUP_D_6">TRAINING_BA!$D$100</definedName>
    <definedName name="DD_FLU_TRAIN2_GROUP_D_7">TRAINING_BA!$D$101</definedName>
    <definedName name="DD_FLU_TRAIN2_GROUP_D_8">TRAINING_BA!$D$102</definedName>
    <definedName name="DD_FLU_TRAIN2_GROUP_D_9">TRAINING_BA!$D$103</definedName>
    <definedName name="DD_FLU_TRAIN2_GROUP_E_1">TRAINING_BA!$D$109</definedName>
    <definedName name="DD_FLU_TRAIN2_GROUP_E_2">TRAINING_BA!$D$110</definedName>
    <definedName name="DD_FLU_TRAIN2_GROUP_E_3">TRAINING_BA!$D$111</definedName>
    <definedName name="DD_FLU_TRAIN2_GROUP_E_4">TRAINING_BA!$D$112</definedName>
    <definedName name="DD_FLU_TRAIN2_GROUP_E_5">TRAINING_BA!$D$113</definedName>
    <definedName name="DD_FLU_TRAIN2_GROUP_E_6">TRAINING_BA!$D$114</definedName>
    <definedName name="DD_FLU_TRAIN2_GROUP_E_7">TRAINING_BA!$D$115</definedName>
    <definedName name="DD_TS_Fin_Yr_End_Mth">Time_Period!$H$16</definedName>
    <definedName name="DD_TS_Model_Start_Mth">Time_Period!$H$14</definedName>
    <definedName name="Err_Chks_Msg">Chks_BO!$I$11</definedName>
    <definedName name="Err_Chks_Ttl_Areas">Chks_BO!$M$23</definedName>
    <definedName name="FLU_BASELINE_XCHANGE_RATE_1">Cost_Ingredients!$J$20</definedName>
    <definedName name="FLU_BASELINE_XCHANGE_RATE_2">Cost_Ingredients!$J$21</definedName>
    <definedName name="FLU_Capital_Cost_Items">Cost_Ingredients!$C$171</definedName>
    <definedName name="FLU_DAYS_PER_MONTH">Cost_Ingredients!$K$67</definedName>
    <definedName name="FLU_HOURS_PER_MONTH">Cost_Ingredients!$L$70</definedName>
    <definedName name="FLU_MINUTES_PER_MONTH">Cost_Ingredients!$M$70</definedName>
    <definedName name="FLU_XCHANGE_YR_BASELINE">Financial!$I$16</definedName>
    <definedName name="FLU_XCHANGE_YR1">Financial!$J$16</definedName>
    <definedName name="HL_Alt_Chk">Chks_BO!$B$37</definedName>
    <definedName name="HL_Cover">Cover!$A$1</definedName>
    <definedName name="HL_Err_Chk">Chks_BO!$B$7</definedName>
    <definedName name="HL_FLU_Ass">Labels!$B$7</definedName>
    <definedName name="HL_FLU_Ass_F">MICROPLANNING_BA!$B$7</definedName>
    <definedName name="HL_FLU_Campaign_Event_A_Worksheet">SD_SIA_BA!$C$9</definedName>
    <definedName name="HL_FLU_Cold_Chain_Expansion">COLD!$B$12</definedName>
    <definedName name="HL_FLU_Cost_Ingredients_List">Cost_Ingredients!$B$7</definedName>
    <definedName name="HL_FLU_Detailed_Distribution_A">DISTRIBUTION_BA!$B$9</definedName>
    <definedName name="HL_FLU_Detailed_Distribution_B">DISTRIBUTION_BA!$B$94</definedName>
    <definedName name="HL_FLU_Detailed_DIstribution_C">DISTRIBUTION_BA!$B$179</definedName>
    <definedName name="HL_FLU_Detailed_Other_Activities">OTHER_BA!$B$7</definedName>
    <definedName name="HL_FLU_Distribution">DISTRIB!$B$12</definedName>
    <definedName name="HL_FLU_Division_Level_1">Labels!$D$25</definedName>
    <definedName name="HL_FLU_Division_Level_2">Labels!$D$26</definedName>
    <definedName name="HL_FLU_Division_Level_3">Labels!$D$27</definedName>
    <definedName name="HL_FLU_Economic_Rates_Assumptions_Annual">Financial!$B$12</definedName>
    <definedName name="HL_FLU_Itemized_Train_A">TRAINING_BA!$B$7</definedName>
    <definedName name="HL_FLU_Itemized_Train_B_Assumptions">TRAINING_BA!$B$69</definedName>
    <definedName name="HL_FLU_Itemized_Train_C_Assumptions">TRAINING_BA!$B$120</definedName>
    <definedName name="HL_FLU_Label_Location_Name_1">Labels!$D$20</definedName>
    <definedName name="HL_FLU_Micro_A_Assumptions">MICROPLANNING_BA!$B$10</definedName>
    <definedName name="HL_FLU_Micro_B_Detailed">MICROPLANNING_BA!$B$95</definedName>
    <definedName name="HL_FLU_Micro_C_Detailed">MICROPLANNING_BA!$B$180</definedName>
    <definedName name="HL_FLU_Other_Activities">Other!$B$12</definedName>
    <definedName name="HL_FLU_Other_Capital_Acquisition_A">Other!$C$110</definedName>
    <definedName name="HL_FLU_Other_Capital_Acquisition_B">Other!$C$145</definedName>
    <definedName name="HL_FLU_Other_Capital_Acquisition_C">Other!$C$182</definedName>
    <definedName name="HL_FLU_Other_Capital_Activity_Detail_A">OTHER_BA!$C$208</definedName>
    <definedName name="HL_FLU_Other_Capital_Activity_Detail_B">OTHER_BA!$C$222</definedName>
    <definedName name="HL_FLU_Other_Capital_Activity_Detail_C">OTHER_BA!$C$235</definedName>
    <definedName name="HL_FLU_Other_Recurrent_Activity_1">Other!$C$29</definedName>
    <definedName name="HL_FLU_Other_Recurrent_Activity_B">Other!$C$56</definedName>
    <definedName name="HL_FLU_Other_Recurrent_Activity_C">Other!$C$83</definedName>
    <definedName name="HL_FLU_Other_Recurrent_Activity_Detail_A">OTHER_BA!$C$9</definedName>
    <definedName name="HL_FLU_Other_Recurrent_Activity_Detail_B">OTHER_BA!$C$75</definedName>
    <definedName name="HL_FLU_Other_Recurrent_Activity_Detail_C">OTHER_BA!$C$141</definedName>
    <definedName name="HL_FLU_Preparation_Outputs">MICRO!$B$12</definedName>
    <definedName name="HL_FLU_Procurement_Activities_Outputs_and_Source_Distribution">PROCUR!$B$11</definedName>
    <definedName name="HL_FLU_Recurrent_Cost_Items">Cost_Ingredients!$D$62</definedName>
    <definedName name="HL_FLU_Reference_Data">Reference_Data_BA!$B$7</definedName>
    <definedName name="HL_FLU_Routine_Vacc_Cost_Ass">SD_ROUTINE_BA!$B$7</definedName>
    <definedName name="HL_FLU_SD_1a">SD_IMM!$B$30</definedName>
    <definedName name="HL_FLU_SD_1b">SD_IMM!$B$97</definedName>
    <definedName name="HL_FLU_SD_1c">SD_IMM!$B$168</definedName>
    <definedName name="HL_FLU_SD_Routine_1_Detailed">SD_ROUTINE_BA!$C$9</definedName>
    <definedName name="HL_FLU_SD_Routine_1C_Detailed">SD_ROUTINE_BA!$C$173</definedName>
    <definedName name="HL_FLU_SD_Routine_B_Detailed">SD_ROUTINE_BA!$C$91</definedName>
    <definedName name="HL_FLU_SD_Routine_C_Detailed">SD_ROUTINE_BA!$B$172</definedName>
    <definedName name="HL_FLU_SD_SIA_2a">SD_IMM!$B$235</definedName>
    <definedName name="HL_FLU_SD_SIA_2b">SD_IMM!$B$301</definedName>
    <definedName name="HL_FLU_SD_SIA_2c">SD_IMM!$B$366</definedName>
    <definedName name="HL_FLU_SD_SIA_B_Detailed">SD_SIA_BA!$C$93</definedName>
    <definedName name="HL_FLU_SD_SIA_C_Detailed">SD_SIA_BA!$C$176</definedName>
    <definedName name="HL_FLU_SME_Detailed_A">SUPERV_BA!$C$9</definedName>
    <definedName name="HL_FLU_SME_Detailed_B">SUPERV_BA!$C$71</definedName>
    <definedName name="HL_FLU_SME_Detailed_C">SUPERV_BA!$C$123</definedName>
    <definedName name="HL_FLU_Social_Mob_A">SOC_MOB_BA!$C$9</definedName>
    <definedName name="HL_FLU_Social_Mob_B">SOC_MOB_BA!$C$72</definedName>
    <definedName name="HL_FLU_Social_Mob_C">SOC_MOB_BA!$C$124</definedName>
    <definedName name="HL_FLU_Training_General_A">TRAIN!$C$23</definedName>
    <definedName name="HL_FLU_Training_General_B">TRAIN!$B$50</definedName>
    <definedName name="HL_Home">Contents!$B$1</definedName>
    <definedName name="HL_HOME2">Home!$A$1</definedName>
    <definedName name="HL_Sens_Chk">Chks_BO!$B$26</definedName>
    <definedName name="HL_Sheet_Main" hidden="1">Cover!$A$2</definedName>
    <definedName name="HL_Sheet_Main_10" hidden="1">TRAINING_BA!$A$1</definedName>
    <definedName name="HL_Sheet_Main_11" hidden="1">COLD!$A$1</definedName>
    <definedName name="HL_Sheet_Main_12" hidden="1">Home!$A$1</definedName>
    <definedName name="HL_Sheet_Main_13" hidden="1">Graphs!$A$1</definedName>
    <definedName name="HL_Sheet_Main_14" hidden="1">DASHBOARD!$A$1</definedName>
    <definedName name="HL_Sheet_Main_15" hidden="1">FINANCING!$A$1</definedName>
    <definedName name="HL_Sheet_Main_17" hidden="1">DISTRIB!$A$1</definedName>
    <definedName name="HL_Sheet_Main_19" hidden="1">SD_ROUTINE_BA!$A$1</definedName>
    <definedName name="HL_Sheet_Main_2" hidden="1">Contents!$A$1</definedName>
    <definedName name="HL_Sheet_Main_20" hidden="1">IEC!$A$1</definedName>
    <definedName name="HL_Sheet_Main_21" hidden="1">TGT_POPS!$A$1</definedName>
    <definedName name="HL_Sheet_Main_22" hidden="1">Labels!$A$1</definedName>
    <definedName name="HL_Sheet_Main_23" hidden="1">SUPV!$A$1</definedName>
    <definedName name="HL_Sheet_Main_24" hidden="1">DISTRIBUTION_BA!$A$1</definedName>
    <definedName name="HL_Sheet_Main_25" hidden="1">Other!$A$1</definedName>
    <definedName name="HL_Sheet_Main_26" hidden="1">INCREMENTAL!$A$1</definedName>
    <definedName name="HL_Sheet_Main_27" hidden="1">FLU_LU!$A$1</definedName>
    <definedName name="HL_Sheet_Main_28" hidden="1">Cost_Ingredients!$A$1</definedName>
    <definedName name="HL_Sheet_Main_3" hidden="1">'3'!$A$1</definedName>
    <definedName name="HL_Sheet_Main_30" hidden="1">SUPERV_BA!$A$1</definedName>
    <definedName name="HL_Sheet_Main_31" hidden="1">About_Flutool_P_MS!$A$1</definedName>
    <definedName name="HL_Sheet_Main_33" hidden="1">SD_SIA_BA!$A$1</definedName>
    <definedName name="HL_Sheet_Main_34" hidden="1">OTHER_BA!$A$1</definedName>
    <definedName name="HL_Sheet_Main_36" hidden="1">'SD-Analysis'!$A$1</definedName>
    <definedName name="HL_Sheet_Main_37" hidden="1">Reference_Data_BA!$A$1</definedName>
    <definedName name="HL_Sheet_Main_4" hidden="1">Time_Period!$A$1</definedName>
    <definedName name="HL_Sheet_Main_41" hidden="1">MICROPLANNING_BA!$A$1</definedName>
    <definedName name="HL_Sheet_Main_46" hidden="1">'2'!$A$1</definedName>
    <definedName name="HL_Sheet_Main_47" hidden="1">Doc_SSC!$A$1</definedName>
    <definedName name="HL_Sheet_Main_48" hidden="1">LU_SSC!$A$1</definedName>
    <definedName name="HL_Sheet_Main_49" hidden="1">Chks_SSC!$A$1</definedName>
    <definedName name="HL_Sheet_Main_5" hidden="1">TRAIN!$A$1</definedName>
    <definedName name="HL_Sheet_Main_51" hidden="1">About_Flu_BO!$A$1</definedName>
    <definedName name="HL_Sheet_Main_55" hidden="1">'1'!$A$1</definedName>
    <definedName name="HL_Sheet_Main_57" hidden="1">MICRO!$A$1</definedName>
    <definedName name="HL_Sheet_Main_6" hidden="1">SOC_MOB_BA!$A$1</definedName>
    <definedName name="HL_Sheet_Main_61" hidden="1">PROCUR!$A$1</definedName>
    <definedName name="HL_Sheet_Main_63" hidden="1">Financial!$A$1</definedName>
    <definedName name="HL_Sheet_Main_67" hidden="1">SD_IMM!$A$1</definedName>
    <definedName name="HL_Sheet_Main_7" hidden="1">App_SC!$A$1</definedName>
    <definedName name="HL_Sheet_Main_8" hidden="1">Chks_BO!$A$1</definedName>
    <definedName name="HL_Sheet_Main_9" hidden="1">TS_LU!$A$1</definedName>
    <definedName name="HL_TOC_1" hidden="1">Chks_BO!$B$7</definedName>
    <definedName name="HL_TOC_10" hidden="1">SOC_MOB_BA!$B$7</definedName>
    <definedName name="HL_TOC_14" hidden="1">DISTRIBUTION_BA!$B$7</definedName>
    <definedName name="HL_TOC_15" hidden="1">SUPV!$B$12</definedName>
    <definedName name="HL_TOC_17" hidden="1">SUPERV_BA!$B$7</definedName>
    <definedName name="HL_TOC_18" hidden="1">IEC!$B$12</definedName>
    <definedName name="HL_TOC_2" hidden="1">Chks_BO!$B$26</definedName>
    <definedName name="HL_TOC_20" hidden="1">FLU_LU!$B$7</definedName>
    <definedName name="HL_TOC_21" hidden="1">TGT_POPS!$B$15</definedName>
    <definedName name="HL_TOC_22" hidden="1">Cost_Ingredients!$B$7</definedName>
    <definedName name="HL_TOC_23" hidden="1">SD_SIA_BA!$B$7</definedName>
    <definedName name="HL_TOC_25" hidden="1">OTHER_BA!$B$7</definedName>
    <definedName name="HL_TOC_28" hidden="1">Reference_Data_BA!$B$7</definedName>
    <definedName name="HL_TOC_29" hidden="1">TRAIN!$B$12</definedName>
    <definedName name="HL_TOC_3" hidden="1">Chks_BO!$B$37</definedName>
    <definedName name="HL_TOC_30" hidden="1">TGT_POPS!$B$71</definedName>
    <definedName name="HL_TOC_32" hidden="1">TGT_POPS!$B$109</definedName>
    <definedName name="HL_TOC_33" hidden="1">MICROPLANNING_BA!$B$7</definedName>
    <definedName name="HL_TOC_4" hidden="1">Time_Period!$B$7</definedName>
    <definedName name="HL_TOC_41" hidden="1">Financial!$B$12</definedName>
    <definedName name="HL_TOC_45" hidden="1">MICRO!$B$12</definedName>
    <definedName name="HL_TOC_47" hidden="1">SD_IMM!$B$12</definedName>
    <definedName name="HL_TOC_5" hidden="1">TRAINING_BA!$B$7</definedName>
    <definedName name="HL_TOC_7" hidden="1">Labels!$B$7</definedName>
    <definedName name="HL_TOC_8" hidden="1">DISTRIB!$B$12</definedName>
    <definedName name="HL_TOC_9" hidden="1">SD_ROUTINE_BA!$B$7</definedName>
    <definedName name="HL_TS_Time_Series_Assumptions">Time_Period!$B$7</definedName>
    <definedName name="Incremental_Costs_Report">INCREMENTAL!$A$1</definedName>
    <definedName name="Lbl_Curr_Intl_ABBR">Financial!$G$15</definedName>
    <definedName name="Lbl_Curr_Local_ABBR">Financial!$G$16</definedName>
    <definedName name="Lbl_Tgt_Group_1">TGT_POPS!$F$19</definedName>
    <definedName name="Lbl_Tgt_Group_2">TGT_POPS!$F$20</definedName>
    <definedName name="Lbl_Tgt_Group_3">TGT_POPS!$F$21</definedName>
    <definedName name="Lbl_Tgt_Group_4">TGT_POPS!$F$22</definedName>
    <definedName name="LU_FLU_Admin_Div_Adj">FLU_LU!$D$44:$D$46</definedName>
    <definedName name="LU_FLU_Admin_Div_Plural">FLU_LU!$D$37:$D$39</definedName>
    <definedName name="LU_FLU_Admin_Divisions">FLU_LU!$D$30:$D$32</definedName>
    <definedName name="LU_FLU_Baseline_Exchange_Rate">FLU_LU!$D$84</definedName>
    <definedName name="LU_FLU_CAP_COST_CATEGORIES">FLU_LU!$D$286:$D$289</definedName>
    <definedName name="LU_FLU_Cap_Equip_Acquis">FLU_LU!$D$385:$D$387</definedName>
    <definedName name="LU_FLU_CAP_PRICES_GROUP_A">FLU_LU!$D$233:$D$238</definedName>
    <definedName name="LU_FLU_CAP_PRICES_GROUP_B">FLU_LU!$D$243:$D$249</definedName>
    <definedName name="LU_FLU_CAP_PRICES_GROUP_C">FLU_LU!$D$254:$D$264</definedName>
    <definedName name="LU_FLU_CAP_PRICES_GROUP_D">FLU_LU!$D$269:$D$273</definedName>
    <definedName name="LU_FLU_Cold_Chain">FLU_LU!$D$363:$D$365</definedName>
    <definedName name="LU_FLU_Cost_Type_Fin_Econ">FLU_LU!$D$307:$D$308</definedName>
    <definedName name="LU_FLU_Cost_Type_Fin_Econ_Abbr">FLU_LU!$D$313:$D$314</definedName>
    <definedName name="LU_FLU_country">FLU_LU!$D$17</definedName>
    <definedName name="LU_FLU_Curr_Code">FLU_LU!$D$78:$D$79</definedName>
    <definedName name="LU_FLU_Currencies">FLU_LU!$D$72:$D$73</definedName>
    <definedName name="LU_FLU_Distribution_Activities">FLU_LU!$D$326:$D$328</definedName>
    <definedName name="LU_FLU_FIN_ECON">FLU_LU!$D$294:$D$295</definedName>
    <definedName name="LU_FLU_hemisphere">FLU_LU!$D$12:$D$13</definedName>
    <definedName name="LU_FLU_Other_Activities">FLU_LU!$D$378:$D$380</definedName>
    <definedName name="LU_FLU_Personnel_Unit_Cost_Categories">FLU_LU!$D$127:$D$129</definedName>
    <definedName name="LU_FLU_Prepared_Yrs">FLU_LU!$D$23:$D$27</definedName>
    <definedName name="LU_FLU_RECC_COST_CATEGORIES">FLU_LU!$D$278:$D$281</definedName>
    <definedName name="LU_FLU_RECC_PRICES_GROUP_A">FLU_LU!$D$134:$D$158</definedName>
    <definedName name="LU_FLU_RECC_PRICES_GROUP_C">FLU_LU!$D$164:$D$173</definedName>
    <definedName name="LU_FLU_RECC_PRICES_GROUP_D">FLU_LU!$D$178:$D$202</definedName>
    <definedName name="LU_FLU_RECC_PRICES_GROUP_E">FLU_LU!$D$207:$D$228</definedName>
    <definedName name="LU_FLU_Recurrent_Cost_Line_Items">FLU_LU!$D$407:$D$415</definedName>
    <definedName name="LU_FLU_Routine_Immun_HW">FLU_LU!$D$348:$D$350</definedName>
    <definedName name="LU_FLU_SOC_MOB_AND_COMM">FLU_LU!$D$341:$D$343</definedName>
    <definedName name="LU_FLU_Special_Immuni_Actv_HW">FLU_LU!$D$355:$D$357</definedName>
    <definedName name="LU_FLU_Supervision_Activities">FLU_LU!$D$371:$D$373</definedName>
    <definedName name="LU_FLU_Target_Populations">FLU_LU!$D$54:$D$65</definedName>
    <definedName name="LU_FLU_TargetPopGroups">FLU_LU!$D$398:$D$401</definedName>
    <definedName name="LU_FLU_Time_Categories">FLU_LU!$D$121:$D$122</definedName>
    <definedName name="LU_FLU_Training">FLU_LU!$D$334:$D$336</definedName>
    <definedName name="LU_FLU_Vacc_Inj_Supplies">FLU_LU!$D$320:$D$321</definedName>
    <definedName name="LU_FLU_VACC_PREQUAL">FLU_LU!$D$101:$D$114</definedName>
    <definedName name="LU_FLU_Vaccine">FLU_LU!$D$95:$D$96</definedName>
    <definedName name="LU_FLU_Yes_No">FLU_LU!$D$300:$D$302</definedName>
    <definedName name="LU_TS_Model_Start_Mth">TS_LU!$D$79:$D$90</definedName>
    <definedName name="LU_TS_Mth_Days">TS_LU!$D$12:$D$42</definedName>
    <definedName name="LU_TS_Mth_Names">TS_LU!$D$47:$D$58</definedName>
    <definedName name="Model_Name">Cover!$C$18</definedName>
    <definedName name="MODEL_VERSION">Cover!$I$22</definedName>
    <definedName name="MODMC1" hidden="1">Time_Period!$5:$23</definedName>
    <definedName name="MODMC12" hidden="1">COLD!$5:$9</definedName>
    <definedName name="MODMC14" hidden="1">MICRO!$10:$105</definedName>
    <definedName name="MODMC15" hidden="1">SD_ROUTINE_BA!$5:$254</definedName>
    <definedName name="MODMC16" hidden="1">SD_SIA_BA!$5:$256</definedName>
    <definedName name="MODMC17" hidden="1">OTHER_BA!$5:$245</definedName>
    <definedName name="MODMC2" hidden="1">TS_LU!$5:$90</definedName>
    <definedName name="MODMC20" hidden="1">SUPERV_BA!$5:$173</definedName>
    <definedName name="MODMC21" hidden="1">TRAIN!$5:$9</definedName>
    <definedName name="MODMC22" hidden="1">IEC!$10:$102</definedName>
    <definedName name="MODMC23" hidden="1">IEC!$5:$9</definedName>
    <definedName name="MODMC25" hidden="1">Reference_Data_BA!$5:$28</definedName>
    <definedName name="MODMC30" hidden="1">MICRO!$5:$9</definedName>
    <definedName name="MODMC32" hidden="1">Labels!$5:$33</definedName>
    <definedName name="MODMC33" hidden="1">SUPV!$10:$102</definedName>
    <definedName name="MODMC34" hidden="1">DISTRIB!$10:$110</definedName>
    <definedName name="MODMC35" hidden="1">DISTRIB!$5:$9</definedName>
    <definedName name="MODMC36" hidden="1">SUPV!$5:$9</definedName>
    <definedName name="MODMC38" hidden="1">Other!$10:$217</definedName>
    <definedName name="MODMC39" hidden="1">Other!$5:$9</definedName>
    <definedName name="MODMC40" hidden="1">DISTRIBUTION_BA!$5:$261</definedName>
    <definedName name="MODMC44" hidden="1">PROCUR!$10:$327</definedName>
    <definedName name="MODMC47" hidden="1">FLU_LU!$5:$426</definedName>
    <definedName name="MODMC48" hidden="1">PROCUR!$5:$9</definedName>
    <definedName name="MODMC5" hidden="1">TRAIN!$10:$102</definedName>
    <definedName name="MODMC50" hidden="1">TGT_POPS!$10:$51</definedName>
    <definedName name="MODMC51" hidden="1">Cost_Ingredients!$5:$227</definedName>
    <definedName name="MODMC52" hidden="1">TGT_POPS!$5:$9</definedName>
    <definedName name="MODMC54" hidden="1">TGT_POPS!$52:$107</definedName>
    <definedName name="MODMC55" hidden="1">TGT_POPS!$108:$148</definedName>
    <definedName name="MODMC57" hidden="1">Financial!$10:$29</definedName>
    <definedName name="MODMC58" hidden="1">Financial!$5:$9</definedName>
    <definedName name="MODMC64" hidden="1">MICROPLANNING_BA!$5:$262</definedName>
    <definedName name="MODMC67" hidden="1">SD_IMM!$10:$431</definedName>
    <definedName name="MODMC68" hidden="1">SD_IMM!$5:$9</definedName>
    <definedName name="MODMC7" hidden="1">TRAINING_BA!$5:$200</definedName>
    <definedName name="MODMC8" hidden="1">COLD!$10:$327</definedName>
    <definedName name="MODMC9" hidden="1">SOC_MOB_BA!$5:$176</definedName>
    <definedName name="_xlnm.Print_Area" localSheetId="3">'1'!$B$1:$N$30</definedName>
    <definedName name="_xlnm.Print_Area" localSheetId="9">'2'!$B$1:$N$28</definedName>
    <definedName name="_xlnm.Print_Area" localSheetId="23">'3'!$B$1:$N$30</definedName>
    <definedName name="_xlnm.Print_Area" localSheetId="37">About_Flu_BO!$B$1:$Q$40</definedName>
    <definedName name="_xlnm.Print_Area" localSheetId="36">About_Flutool_P_MS!$B$1:$BI$43</definedName>
    <definedName name="_xlnm.Print_Area" localSheetId="32">App_SC!$B$1:$N$30</definedName>
    <definedName name="_xlnm.Print_Area" localSheetId="42">Chks_BO!$B$1:$Q$45</definedName>
    <definedName name="_xlnm.Print_Area" localSheetId="41">Chks_SSC!$B$1:$N$30</definedName>
    <definedName name="_xlnm.Print_Area" localSheetId="22">COLD!$B$1:$Q$229</definedName>
    <definedName name="_xlnm.Print_Area" localSheetId="1">Contents!$B$1:$Q$53</definedName>
    <definedName name="_xlnm.Print_Area" localSheetId="34">Cost_Ingredients!$B$1:$M$237</definedName>
    <definedName name="_xlnm.Print_Area" localSheetId="0">Cover!$B$1:$N$34</definedName>
    <definedName name="_xlnm.Print_Area" localSheetId="4">DASHBOARD!$B$1:$BB$92</definedName>
    <definedName name="_xlnm.Print_Area" localSheetId="16">DISTRIB!$B$1:$Q$77</definedName>
    <definedName name="_xlnm.Print_Area" localSheetId="25">DISTRIBUTION_BA!$B$1:$Q$16</definedName>
    <definedName name="_xlnm.Print_Area" localSheetId="35">Doc_SSC!$B$1:$N$30</definedName>
    <definedName name="_xlnm.Print_Area" localSheetId="11">Financial!$B$1:$Q$33</definedName>
    <definedName name="_xlnm.Print_Area" localSheetId="8">FINANCING!$B$1:$BK$56</definedName>
    <definedName name="_xlnm.Print_Area" localSheetId="40">FLU_LU!$B$1:$G$303</definedName>
    <definedName name="_xlnm.Print_Area" localSheetId="6">Graphs!$B$1:$BI$69</definedName>
    <definedName name="_xlnm.Print_Area" localSheetId="2">Home!$B$1:$BF$48</definedName>
    <definedName name="_xlnm.Print_Area" localSheetId="18">IEC!$B$1:$Q$38</definedName>
    <definedName name="_xlnm.Print_Area" localSheetId="7">INCREMENTAL!$B$1:$BJ$41</definedName>
    <definedName name="_xlnm.Print_Area" localSheetId="12">Labels!$B$1:$Q$33</definedName>
    <definedName name="_xlnm.Print_Area" localSheetId="38">LU_SSC!$B$1:$N$30</definedName>
    <definedName name="_xlnm.Print_Area" localSheetId="14">MICRO!$B$1:$Q$77</definedName>
    <definedName name="_xlnm.Print_Area" localSheetId="24">MICROPLANNING_BA!$B$1:$R$176</definedName>
    <definedName name="_xlnm.Print_Area" localSheetId="21">Other!$B$1:$Q$11</definedName>
    <definedName name="_xlnm.Print_Area" localSheetId="31">OTHER_BA!$B$1:$T$112</definedName>
    <definedName name="_xlnm.Print_Area" localSheetId="15">PROCUR!$B$1:$Q$125</definedName>
    <definedName name="_xlnm.Print_Area" localSheetId="33">Reference_Data_BA!$B$1:$Q$46</definedName>
    <definedName name="_xlnm.Print_Area" localSheetId="19">SD_IMM!$B$1:$Q$61</definedName>
    <definedName name="_xlnm.Print_Area" localSheetId="29">SD_ROUTINE_BA!$B$1:$Q$8</definedName>
    <definedName name="_xlnm.Print_Area" localSheetId="30">SD_SIA_BA!$B$1:$R$11</definedName>
    <definedName name="_xlnm.Print_Area" localSheetId="5">'SD-Analysis'!$B$1:$Q$57</definedName>
    <definedName name="_xlnm.Print_Area" localSheetId="27">SOC_MOB_BA!$B$1:$R$76</definedName>
    <definedName name="_xlnm.Print_Area" localSheetId="28">SUPERV_BA!$B$1:$R$161</definedName>
    <definedName name="_xlnm.Print_Area" localSheetId="20">SUPV!$B$1:$Q$14</definedName>
    <definedName name="_xlnm.Print_Area" localSheetId="13">TGT_POPS!$B$1:$Q$39</definedName>
    <definedName name="_xlnm.Print_Area" localSheetId="10">Time_Period!$B$1:$Q$42</definedName>
    <definedName name="_xlnm.Print_Area" localSheetId="17">TRAIN!$B$1:$Q$50</definedName>
    <definedName name="_xlnm.Print_Area" localSheetId="26">TRAINING_BA!$B$1:$R$218</definedName>
    <definedName name="_xlnm.Print_Area" localSheetId="39">TS_LU!$B$1:$G$40</definedName>
    <definedName name="_xlnm.Print_Titles" localSheetId="37">About_Flu_BO!$1:$6</definedName>
    <definedName name="_xlnm.Print_Titles" localSheetId="42">Chks_BO!$1:$6</definedName>
    <definedName name="_xlnm.Print_Titles" localSheetId="22">COLD!$1:$9</definedName>
    <definedName name="_xlnm.Print_Titles" localSheetId="1">Contents!$1:$7</definedName>
    <definedName name="_xlnm.Print_Titles" localSheetId="34">Cost_Ingredients!$1:$4</definedName>
    <definedName name="_xlnm.Print_Titles" localSheetId="16">DISTRIB!$1:$9</definedName>
    <definedName name="_xlnm.Print_Titles" localSheetId="25">DISTRIBUTION_BA!$1:$4</definedName>
    <definedName name="_xlnm.Print_Titles" localSheetId="11">Financial!$1:$9</definedName>
    <definedName name="_xlnm.Print_Titles" localSheetId="40">FLU_LU!$1:$4</definedName>
    <definedName name="_xlnm.Print_Titles" localSheetId="18">IEC!$1:$9</definedName>
    <definedName name="_xlnm.Print_Titles" localSheetId="12">Labels!$1:$4</definedName>
    <definedName name="_xlnm.Print_Titles" localSheetId="14">MICRO!$1:$9</definedName>
    <definedName name="_xlnm.Print_Titles" localSheetId="24">MICROPLANNING_BA!$1:$4</definedName>
    <definedName name="_xlnm.Print_Titles" localSheetId="21">Other!$1:$9</definedName>
    <definedName name="_xlnm.Print_Titles" localSheetId="31">OTHER_BA!$1:$4</definedName>
    <definedName name="_xlnm.Print_Titles" localSheetId="15">PROCUR!$1:$9</definedName>
    <definedName name="_xlnm.Print_Titles" localSheetId="33">Reference_Data_BA!$1:$4</definedName>
    <definedName name="_xlnm.Print_Titles" localSheetId="19">SD_IMM!$1:$9</definedName>
    <definedName name="_xlnm.Print_Titles" localSheetId="29">SD_ROUTINE_BA!$1:$4</definedName>
    <definedName name="_xlnm.Print_Titles" localSheetId="30">SD_SIA_BA!$1:$4</definedName>
    <definedName name="_xlnm.Print_Titles" localSheetId="5">'SD-Analysis'!$1:$4</definedName>
    <definedName name="_xlnm.Print_Titles" localSheetId="27">SOC_MOB_BA!$1:$4</definedName>
    <definedName name="_xlnm.Print_Titles" localSheetId="28">SUPERV_BA!$1:$4</definedName>
    <definedName name="_xlnm.Print_Titles" localSheetId="20">SUPV!$1:$9</definedName>
    <definedName name="_xlnm.Print_Titles" localSheetId="13">TGT_POPS!$1:$9</definedName>
    <definedName name="_xlnm.Print_Titles" localSheetId="10">Time_Period!$1:$6</definedName>
    <definedName name="_xlnm.Print_Titles" localSheetId="17">TRAIN!$1:$9</definedName>
    <definedName name="_xlnm.Print_Titles" localSheetId="26">TRAINING_BA!$1:$4</definedName>
    <definedName name="SELECT_CURRENCY_DASHBOARD">DASHBOARD!$J$1</definedName>
    <definedName name="Sens_Chks_Msg">Chks_BO!$I$30</definedName>
    <definedName name="Sens_Chks_Ttl_Areas">Chks_BO!$M$34</definedName>
    <definedName name="Service_Delivery_Analysis">'SD-Analysis'!$A$1</definedName>
    <definedName name="TBXBST" localSheetId="3" hidden="1">"|B|SC|B||P|"</definedName>
    <definedName name="TBXBST" localSheetId="9" hidden="1">"|B|SC|B|"</definedName>
    <definedName name="TBXBST" localSheetId="23" hidden="1">"|B|SC|B|"</definedName>
    <definedName name="TBXBST" localSheetId="37" hidden="1">"|B|BO|B|"</definedName>
    <definedName name="TBXBST" localSheetId="36" hidden="1">"|B|MS|B||P|"</definedName>
    <definedName name="TBXBST" localSheetId="32" hidden="1">"|B|SC|B|"</definedName>
    <definedName name="TBXBST" localSheetId="42" hidden="1">"|B|BO|B|"</definedName>
    <definedName name="TBXBST" localSheetId="41" hidden="1">"|B|SSC|B|"</definedName>
    <definedName name="TBXBST" localSheetId="22" hidden="1">"|B|TO|B||T|All|T||N|1|N||FTSCN|10|FTSCN||TSP|0|TSP|"</definedName>
    <definedName name="TBXBST" localSheetId="1" hidden="1">"|B|Contents|B|"</definedName>
    <definedName name="TBXBST" localSheetId="34" hidden="1">"|B|BA|B|"</definedName>
    <definedName name="TBXBST" localSheetId="0" hidden="1">"|B|Cover|B|"</definedName>
    <definedName name="TBXBST" localSheetId="4" hidden="1">"|B|MS|B|"</definedName>
    <definedName name="TBXBST" localSheetId="16" hidden="1">"|B|TO|B||T|All|T||N|1|N||FTSCN|10|FTSCN||TSP|0|TSP|"</definedName>
    <definedName name="TBXBST" localSheetId="25" hidden="1">"|B|BA|B|"</definedName>
    <definedName name="TBXBST" localSheetId="35" hidden="1">"|B|SSC|B|"</definedName>
    <definedName name="TBXBST" localSheetId="11" hidden="1">"|B|TA|B||T|All|T||N|1|N||FTSCN|10|FTSCN||TSP|0|TSP|"</definedName>
    <definedName name="TBXBST" localSheetId="8" hidden="1">"|B|MS|B||P|"</definedName>
    <definedName name="TBXBST" localSheetId="40" hidden="1">"|B|LU|B|"</definedName>
    <definedName name="TBXBST" localSheetId="6" hidden="1">"|B|MS|B||P|"</definedName>
    <definedName name="TBXBST" localSheetId="2" hidden="1">"|B|MS|B|"</definedName>
    <definedName name="TBXBST" localSheetId="18" hidden="1">"|B|TO|B||T|All|T||N|1|N||FTSCN|10|FTSCN||TSP|0|TSP|"</definedName>
    <definedName name="TBXBST" localSheetId="7" hidden="1">"|B|MS|B||P|"</definedName>
    <definedName name="TBXBST" localSheetId="12" hidden="1">"|B|BA|B|"</definedName>
    <definedName name="TBXBST" localSheetId="38" hidden="1">"|B|SSC|B|"</definedName>
    <definedName name="TBXBST" localSheetId="14" hidden="1">"|B|TO|B||T|All|T||N|1|N||FTSCN|10|FTSCN||TSP|0|TSP|"</definedName>
    <definedName name="TBXBST" localSheetId="24" hidden="1">"|B|BA|B|"</definedName>
    <definedName name="TBXBST" localSheetId="21" hidden="1">"|B|TO|B||T|All|T||N|1|N||FTSCN|10|FTSCN||TSP|0|TSP|"</definedName>
    <definedName name="TBXBST" localSheetId="31" hidden="1">"|B|BA|B|"</definedName>
    <definedName name="TBXBST" localSheetId="15" hidden="1">"|B|TO|B||T|All|T||N|1|N||FTSCN|10|FTSCN||TSP|0|TSP|"</definedName>
    <definedName name="TBXBST" localSheetId="33" hidden="1">"|B|BA|B|"</definedName>
    <definedName name="TBXBST" localSheetId="19" hidden="1">"|B|TO|B||T|All|T||N|1|N||FTSCN|10|FTSCN||TSP|0|TSP|"</definedName>
    <definedName name="TBXBST" localSheetId="29" hidden="1">"|B|BA|B|"</definedName>
    <definedName name="TBXBST" localSheetId="30" hidden="1">"|B|BA|B|"</definedName>
    <definedName name="TBXBST" localSheetId="5" hidden="1">"|B|BO|B|"</definedName>
    <definedName name="TBXBST" localSheetId="27" hidden="1">"|B|BA|B|"</definedName>
    <definedName name="TBXBST" localSheetId="28" hidden="1">"|B|BA|B|"</definedName>
    <definedName name="TBXBST" localSheetId="20" hidden="1">"|B|TO|B||T|All|T||N|1|N||FTSCN|10|FTSCN||TSP|0|TSP|"</definedName>
    <definedName name="TBXBST" localSheetId="13" hidden="1">"|B|TO|B||T|All|T||N|1|N||FTSCN|10|FTSCN||TSP|0|TSP|"</definedName>
    <definedName name="TBXBST" localSheetId="10" hidden="1">"|B|BA|B|"</definedName>
    <definedName name="TBXBST" localSheetId="17" hidden="1">"|B|TO|B||T|All|T||N|1|N||FTSCN|10|FTSCN||TSP|0|TSP|"</definedName>
    <definedName name="TBXBST" localSheetId="26" hidden="1">"|B|BA|B|"</definedName>
    <definedName name="TBXBST" localSheetId="39" hidden="1">"|B|LU|B|"</definedName>
    <definedName name="TOC_Hdg_1" hidden="1">Chks_BO!$B$7</definedName>
    <definedName name="TOC_Hdg_10" hidden="1">SOC_MOB_BA!$B$7</definedName>
    <definedName name="TOC_Hdg_14" hidden="1">DISTRIBUTION_BA!$B$7</definedName>
    <definedName name="TOC_Hdg_15" hidden="1">SUPV!$B$12</definedName>
    <definedName name="TOC_Hdg_17" hidden="1">SUPERV_BA!$B$7</definedName>
    <definedName name="TOC_Hdg_18" hidden="1">IEC!$B$12</definedName>
    <definedName name="TOC_Hdg_2" hidden="1">Chks_BO!$B$26</definedName>
    <definedName name="TOC_Hdg_20" hidden="1">FLU_LU!$B$7</definedName>
    <definedName name="TOC_Hdg_21" hidden="1">TGT_POPS!$B$15</definedName>
    <definedName name="TOC_Hdg_22" hidden="1">Cost_Ingredients!$B$7</definedName>
    <definedName name="TOC_Hdg_23" hidden="1">SD_SIA_BA!$B$7</definedName>
    <definedName name="TOC_Hdg_25" hidden="1">OTHER_BA!$B$7</definedName>
    <definedName name="TOC_Hdg_28" hidden="1">Reference_Data_BA!$B$7</definedName>
    <definedName name="TOC_Hdg_29" hidden="1">TRAIN!$B$12</definedName>
    <definedName name="TOC_Hdg_3" hidden="1">Chks_BO!$B$37</definedName>
    <definedName name="TOC_Hdg_30" hidden="1">TGT_POPS!$B$71</definedName>
    <definedName name="TOC_Hdg_32" hidden="1">TGT_POPS!$B$109</definedName>
    <definedName name="TOC_Hdg_33" hidden="1">MICROPLANNING_BA!$B$7</definedName>
    <definedName name="TOC_Hdg_4" hidden="1">Time_Period!$B$7</definedName>
    <definedName name="TOC_Hdg_41" hidden="1">Financial!$B$12</definedName>
    <definedName name="TOC_Hdg_45" hidden="1">MICRO!$B$12</definedName>
    <definedName name="TOC_Hdg_47" hidden="1">SD_IMM!$B$12</definedName>
    <definedName name="TOC_Hdg_5" hidden="1">TRAINING_BA!$B$7</definedName>
    <definedName name="TOC_Hdg_7" hidden="1">Labels!$B$7</definedName>
    <definedName name="TOC_Hdg_8" hidden="1">DISTRIB!$B$12</definedName>
    <definedName name="TOC_Hdg_9" hidden="1">SD_ROUTINE_BA!$B$7</definedName>
    <definedName name="TS_Days_In_Wk">TS_LU!$D$66</definedName>
    <definedName name="TS_End_Date">Time_Period!$H$20</definedName>
    <definedName name="TS_First_Fin_Yr">Time_Period!$H$13</definedName>
    <definedName name="TS_Halves">Time_Period!$H$22</definedName>
    <definedName name="TS_Halves_In_Yr">TS_LU!$D$72</definedName>
    <definedName name="TS_Hrs_In_Day">TS_LU!$D$65</definedName>
    <definedName name="TS_Mins_In_Hr">TS_LU!$D$64</definedName>
    <definedName name="TS_Mths_In_Half">TS_LU!$D$68</definedName>
    <definedName name="TS_Mths_In_Qtr">TS_LU!$D$67</definedName>
    <definedName name="TS_Mths_In_Yr">TS_LU!$D$69</definedName>
    <definedName name="TS_Part_Per_ID">Time_Period!$H$17</definedName>
    <definedName name="TS_Qtrs">Time_Period!$H$21</definedName>
    <definedName name="TS_Qtrs_In_Half">TS_LU!$D$70</definedName>
    <definedName name="TS_Qtrs_In_Yr">TS_LU!$D$71</definedName>
    <definedName name="TS_Secs_In_Min">TS_LU!$D$63</definedName>
    <definedName name="TS_Start_Date">Time_Period!$H$19</definedName>
    <definedName name="TS_Term">Time_Period!$H$15</definedName>
    <definedName name="TS_Yrs">Time_Period!$H$23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5" i="203" l="1"/>
  <c r="C222" i="203"/>
  <c r="C208" i="203"/>
  <c r="C72" i="188"/>
  <c r="D58" i="273" l="1"/>
  <c r="D43" i="271"/>
  <c r="D38" i="271"/>
  <c r="D33" i="271"/>
  <c r="D27" i="271"/>
  <c r="F259" i="228"/>
  <c r="F260" i="228"/>
  <c r="F261" i="228"/>
  <c r="H178" i="228"/>
  <c r="H177" i="228"/>
  <c r="H176" i="228"/>
  <c r="H173" i="228"/>
  <c r="H172" i="228"/>
  <c r="H171" i="228"/>
  <c r="H226" i="228"/>
  <c r="H225" i="228"/>
  <c r="H224" i="228"/>
  <c r="H221" i="228"/>
  <c r="H220" i="228"/>
  <c r="H219" i="228"/>
  <c r="H275" i="228"/>
  <c r="H274" i="228"/>
  <c r="H273" i="228"/>
  <c r="H269" i="228"/>
  <c r="H268" i="228"/>
  <c r="H267" i="228"/>
  <c r="H325" i="228"/>
  <c r="H324" i="228"/>
  <c r="H323" i="228"/>
  <c r="H319" i="228"/>
  <c r="H318" i="228"/>
  <c r="H317" i="228"/>
  <c r="I296" i="228"/>
  <c r="H296" i="228"/>
  <c r="G296" i="228"/>
  <c r="I282" i="228"/>
  <c r="H282" i="228"/>
  <c r="G282" i="228"/>
  <c r="I149" i="228"/>
  <c r="H149" i="228"/>
  <c r="G149" i="228"/>
  <c r="I183" i="228"/>
  <c r="H183" i="228"/>
  <c r="G183" i="228"/>
  <c r="I197" i="228"/>
  <c r="H197" i="228"/>
  <c r="G197" i="228"/>
  <c r="I246" i="228"/>
  <c r="H246" i="228"/>
  <c r="G246" i="228"/>
  <c r="I233" i="228"/>
  <c r="H233" i="228"/>
  <c r="G233" i="228"/>
  <c r="I135" i="228"/>
  <c r="H135" i="228"/>
  <c r="G135" i="228"/>
  <c r="J5" i="242" l="1"/>
  <c r="J5" i="249"/>
  <c r="J5" i="247"/>
  <c r="J5" i="237"/>
  <c r="J5" i="273"/>
  <c r="J5" i="272"/>
  <c r="J5" i="278"/>
  <c r="J5" i="228"/>
  <c r="J5" i="235"/>
  <c r="J5" i="271"/>
  <c r="J5" i="231"/>
  <c r="B5" i="242"/>
  <c r="B5" i="249"/>
  <c r="B5" i="247"/>
  <c r="B5" i="237"/>
  <c r="B5" i="273"/>
  <c r="B5" i="272"/>
  <c r="B5" i="278"/>
  <c r="B5" i="228"/>
  <c r="B5" i="235"/>
  <c r="B5" i="271"/>
  <c r="B5" i="231"/>
  <c r="C17" i="290" l="1"/>
  <c r="C92" i="290"/>
  <c r="D16" i="290" s="1"/>
  <c r="B14" i="290"/>
  <c r="C12" i="290"/>
  <c r="D11" i="290"/>
  <c r="D10" i="290"/>
  <c r="H95" i="290"/>
  <c r="H94" i="290"/>
  <c r="H93" i="290"/>
  <c r="H90" i="290"/>
  <c r="H89" i="290"/>
  <c r="H88" i="290"/>
  <c r="H77" i="290"/>
  <c r="H76" i="290"/>
  <c r="H72" i="290"/>
  <c r="H71" i="290"/>
  <c r="H61" i="290"/>
  <c r="H60" i="290"/>
  <c r="H59" i="290"/>
  <c r="H56" i="290"/>
  <c r="H55" i="290"/>
  <c r="H54" i="290"/>
  <c r="H51" i="290"/>
  <c r="H50" i="290"/>
  <c r="H49" i="290"/>
  <c r="H48" i="290"/>
  <c r="H47" i="290"/>
  <c r="H46" i="290"/>
  <c r="H43" i="290"/>
  <c r="H42" i="290"/>
  <c r="H41" i="290"/>
  <c r="H38" i="290"/>
  <c r="H37" i="290"/>
  <c r="H36" i="290"/>
  <c r="H33" i="290"/>
  <c r="H32" i="290"/>
  <c r="H31" i="290"/>
  <c r="H28" i="290"/>
  <c r="H27" i="290"/>
  <c r="H26" i="290"/>
  <c r="N96" i="290"/>
  <c r="N16" i="290" s="1"/>
  <c r="N91" i="290"/>
  <c r="N15" i="290" s="1"/>
  <c r="N78" i="290"/>
  <c r="N73" i="290"/>
  <c r="N80" i="290" s="1"/>
  <c r="N11" i="290" s="1"/>
  <c r="N62" i="290"/>
  <c r="N57" i="290"/>
  <c r="N52" i="290"/>
  <c r="N44" i="290"/>
  <c r="N39" i="290"/>
  <c r="N34" i="290"/>
  <c r="N29" i="290"/>
  <c r="M96" i="290"/>
  <c r="M16" i="290" s="1"/>
  <c r="M91" i="290"/>
  <c r="M78" i="290"/>
  <c r="M73" i="290"/>
  <c r="M62" i="290"/>
  <c r="M57" i="290"/>
  <c r="M52" i="290"/>
  <c r="M44" i="290"/>
  <c r="M39" i="290"/>
  <c r="M34" i="290"/>
  <c r="M29" i="290"/>
  <c r="L96" i="290"/>
  <c r="L16" i="290" s="1"/>
  <c r="L91" i="290"/>
  <c r="L15" i="290" s="1"/>
  <c r="L78" i="290"/>
  <c r="L73" i="290"/>
  <c r="L62" i="290"/>
  <c r="L57" i="290"/>
  <c r="L52" i="290"/>
  <c r="L44" i="290"/>
  <c r="L39" i="290"/>
  <c r="L34" i="290"/>
  <c r="L29" i="290"/>
  <c r="K96" i="290"/>
  <c r="K98" i="290" s="1"/>
  <c r="K17" i="290" s="1"/>
  <c r="K91" i="290"/>
  <c r="K15" i="290" s="1"/>
  <c r="K78" i="290"/>
  <c r="K73" i="290"/>
  <c r="K62" i="290"/>
  <c r="K57" i="290"/>
  <c r="K52" i="290"/>
  <c r="K44" i="290"/>
  <c r="K39" i="290"/>
  <c r="K34" i="290"/>
  <c r="K29" i="290"/>
  <c r="J96" i="290"/>
  <c r="J16" i="290" s="1"/>
  <c r="J91" i="290"/>
  <c r="J98" i="290" s="1"/>
  <c r="J17" i="290" s="1"/>
  <c r="J78" i="290"/>
  <c r="J73" i="290"/>
  <c r="J62" i="290"/>
  <c r="J57" i="290"/>
  <c r="J52" i="290"/>
  <c r="J44" i="290"/>
  <c r="J39" i="290"/>
  <c r="J34" i="290"/>
  <c r="J29" i="290"/>
  <c r="I96" i="290"/>
  <c r="I16" i="290" s="1"/>
  <c r="I91" i="290"/>
  <c r="I15" i="290" s="1"/>
  <c r="I78" i="290"/>
  <c r="I73" i="290"/>
  <c r="I52" i="290"/>
  <c r="I62" i="290"/>
  <c r="I57" i="290"/>
  <c r="I44" i="290"/>
  <c r="I39" i="290"/>
  <c r="I34" i="290"/>
  <c r="I29" i="290"/>
  <c r="D95" i="290"/>
  <c r="D94" i="290"/>
  <c r="D93" i="290"/>
  <c r="D90" i="290"/>
  <c r="D89" i="290"/>
  <c r="D88" i="290"/>
  <c r="C87" i="290"/>
  <c r="D15" i="290" s="1"/>
  <c r="D77" i="290"/>
  <c r="D76" i="290"/>
  <c r="C75" i="290"/>
  <c r="D72" i="290"/>
  <c r="D71" i="290"/>
  <c r="C70" i="290"/>
  <c r="C58" i="290"/>
  <c r="C53" i="290"/>
  <c r="C45" i="290"/>
  <c r="C40" i="290"/>
  <c r="C35" i="290"/>
  <c r="C30" i="290"/>
  <c r="C25" i="290"/>
  <c r="I53" i="8"/>
  <c r="I52" i="8"/>
  <c r="I51" i="8"/>
  <c r="H50" i="8"/>
  <c r="F49" i="8"/>
  <c r="H48" i="8"/>
  <c r="H47" i="8"/>
  <c r="F46" i="8"/>
  <c r="H45" i="8"/>
  <c r="H44" i="8"/>
  <c r="F43" i="8"/>
  <c r="H42" i="8"/>
  <c r="H41" i="8"/>
  <c r="D40" i="8"/>
  <c r="H39" i="8"/>
  <c r="H38" i="8"/>
  <c r="H37" i="8"/>
  <c r="H36" i="8"/>
  <c r="H35" i="8"/>
  <c r="H34" i="8"/>
  <c r="H33" i="8"/>
  <c r="H32" i="8"/>
  <c r="D31" i="8"/>
  <c r="H30" i="8"/>
  <c r="H29" i="8"/>
  <c r="H28" i="8"/>
  <c r="H27" i="8"/>
  <c r="H26" i="8"/>
  <c r="H25" i="8"/>
  <c r="H24" i="8"/>
  <c r="H23" i="8"/>
  <c r="H22" i="8"/>
  <c r="I21" i="8"/>
  <c r="I20" i="8"/>
  <c r="I19" i="8"/>
  <c r="H18" i="8"/>
  <c r="H17" i="8"/>
  <c r="H16" i="8"/>
  <c r="H15" i="8"/>
  <c r="D14" i="8"/>
  <c r="H13" i="8"/>
  <c r="H12" i="8"/>
  <c r="H11" i="8"/>
  <c r="H10" i="8"/>
  <c r="H9" i="8"/>
  <c r="D8" i="8"/>
  <c r="M98" i="290" l="1"/>
  <c r="M17" i="290" s="1"/>
  <c r="H52" i="290"/>
  <c r="M65" i="290"/>
  <c r="M10" i="290" s="1"/>
  <c r="K80" i="290"/>
  <c r="K11" i="290" s="1"/>
  <c r="H39" i="290"/>
  <c r="H96" i="290"/>
  <c r="H16" i="290" s="1"/>
  <c r="H44" i="290"/>
  <c r="J65" i="290"/>
  <c r="L98" i="290"/>
  <c r="L17" i="290" s="1"/>
  <c r="H73" i="290"/>
  <c r="N65" i="290"/>
  <c r="J15" i="290"/>
  <c r="K16" i="290"/>
  <c r="H34" i="290"/>
  <c r="M15" i="290"/>
  <c r="H57" i="290"/>
  <c r="I98" i="290"/>
  <c r="I17" i="290" s="1"/>
  <c r="L80" i="290"/>
  <c r="L11" i="290" s="1"/>
  <c r="H91" i="290"/>
  <c r="H15" i="290" s="1"/>
  <c r="H62" i="290"/>
  <c r="J80" i="290"/>
  <c r="J11" i="290" s="1"/>
  <c r="L65" i="290"/>
  <c r="I80" i="290"/>
  <c r="I11" i="290" s="1"/>
  <c r="N98" i="290"/>
  <c r="N17" i="290" s="1"/>
  <c r="H78" i="290"/>
  <c r="H29" i="290"/>
  <c r="I65" i="290"/>
  <c r="K65" i="290"/>
  <c r="M80" i="290"/>
  <c r="M11" i="290" s="1"/>
  <c r="J82" i="290" l="1"/>
  <c r="J12" i="290" s="1"/>
  <c r="J19" i="290" s="1"/>
  <c r="J10" i="290"/>
  <c r="L10" i="290"/>
  <c r="L82" i="290"/>
  <c r="L12" i="290" s="1"/>
  <c r="L19" i="290" s="1"/>
  <c r="N82" i="290"/>
  <c r="N12" i="290" s="1"/>
  <c r="N19" i="290" s="1"/>
  <c r="N10" i="290"/>
  <c r="K10" i="290"/>
  <c r="K82" i="290"/>
  <c r="K12" i="290" s="1"/>
  <c r="K19" i="290" s="1"/>
  <c r="H98" i="290"/>
  <c r="H17" i="290" s="1"/>
  <c r="H65" i="290"/>
  <c r="H10" i="290" s="1"/>
  <c r="I82" i="290"/>
  <c r="I12" i="290" s="1"/>
  <c r="I19" i="290" s="1"/>
  <c r="I10" i="290"/>
  <c r="H80" i="290"/>
  <c r="H11" i="290" s="1"/>
  <c r="M82" i="290"/>
  <c r="K48" i="282"/>
  <c r="K43" i="282"/>
  <c r="G47" i="282"/>
  <c r="G46" i="282"/>
  <c r="G45" i="282"/>
  <c r="G42" i="282"/>
  <c r="G41" i="282"/>
  <c r="G40" i="282"/>
  <c r="M17" i="282"/>
  <c r="K17" i="282"/>
  <c r="J17" i="282"/>
  <c r="I17" i="282"/>
  <c r="M47" i="282" s="1"/>
  <c r="M16" i="282"/>
  <c r="K16" i="282"/>
  <c r="J16" i="282"/>
  <c r="I16" i="282"/>
  <c r="M46" i="282" s="1"/>
  <c r="M15" i="282"/>
  <c r="K15" i="282"/>
  <c r="J15" i="282"/>
  <c r="I15" i="282"/>
  <c r="M45" i="282" s="1"/>
  <c r="M13" i="282"/>
  <c r="K13" i="282"/>
  <c r="J13" i="282"/>
  <c r="M12" i="282"/>
  <c r="K12" i="282"/>
  <c r="I12" i="282"/>
  <c r="M41" i="282" s="1"/>
  <c r="J12" i="282"/>
  <c r="M11" i="282"/>
  <c r="K11" i="282"/>
  <c r="J11" i="282"/>
  <c r="I11" i="282"/>
  <c r="M40" i="282" s="1"/>
  <c r="I13" i="282"/>
  <c r="M42" i="282" s="1"/>
  <c r="AA48" i="288"/>
  <c r="AE47" i="288"/>
  <c r="AC47" i="288"/>
  <c r="J47" i="288"/>
  <c r="H47" i="288"/>
  <c r="D415" i="177"/>
  <c r="G48" i="288"/>
  <c r="H82" i="290" l="1"/>
  <c r="H12" i="290" s="1"/>
  <c r="H19" i="290" s="1"/>
  <c r="M12" i="290"/>
  <c r="M19" i="290" s="1"/>
  <c r="M48" i="282"/>
  <c r="K50" i="282"/>
  <c r="M43" i="282"/>
  <c r="M50" i="282" s="1"/>
  <c r="J136" i="249"/>
  <c r="K52" i="282" l="1"/>
  <c r="K51" i="282"/>
  <c r="I2" i="284"/>
  <c r="H2" i="284"/>
  <c r="G2" i="284"/>
  <c r="F2" i="284"/>
  <c r="J50" i="228" l="1"/>
  <c r="E12" i="284"/>
  <c r="E11" i="284"/>
  <c r="E10" i="284"/>
  <c r="G24" i="282"/>
  <c r="G25" i="282"/>
  <c r="G26" i="282"/>
  <c r="G29" i="282"/>
  <c r="G30" i="282"/>
  <c r="G31" i="282"/>
  <c r="J107" i="249"/>
  <c r="J106" i="249"/>
  <c r="J104" i="249"/>
  <c r="J103" i="249"/>
  <c r="J80" i="249"/>
  <c r="J79" i="249"/>
  <c r="J77" i="249"/>
  <c r="J76" i="249"/>
  <c r="J53" i="249"/>
  <c r="J52" i="249"/>
  <c r="J50" i="249"/>
  <c r="J49" i="249"/>
  <c r="J101" i="247"/>
  <c r="J100" i="247"/>
  <c r="J98" i="247"/>
  <c r="J97" i="247"/>
  <c r="J74" i="247"/>
  <c r="J73" i="247"/>
  <c r="J71" i="247"/>
  <c r="J70" i="247"/>
  <c r="J47" i="247"/>
  <c r="J46" i="247"/>
  <c r="J44" i="247"/>
  <c r="J43" i="247"/>
  <c r="J101" i="273"/>
  <c r="J100" i="273"/>
  <c r="J98" i="273"/>
  <c r="J97" i="273"/>
  <c r="J74" i="273"/>
  <c r="J73" i="273"/>
  <c r="J71" i="273"/>
  <c r="J70" i="273"/>
  <c r="J47" i="273"/>
  <c r="J46" i="273"/>
  <c r="J44" i="273"/>
  <c r="J43" i="273"/>
  <c r="J101" i="272"/>
  <c r="J100" i="272"/>
  <c r="J98" i="272"/>
  <c r="J97" i="272"/>
  <c r="J74" i="272"/>
  <c r="J73" i="272"/>
  <c r="J71" i="272"/>
  <c r="J70" i="272"/>
  <c r="J47" i="272"/>
  <c r="J46" i="272"/>
  <c r="J44" i="272"/>
  <c r="J43" i="272"/>
  <c r="J47" i="278"/>
  <c r="J50" i="278" s="1"/>
  <c r="J46" i="278"/>
  <c r="J49" i="278" s="1"/>
  <c r="J104" i="235"/>
  <c r="J103" i="235"/>
  <c r="J101" i="235"/>
  <c r="J100" i="235"/>
  <c r="J76" i="235"/>
  <c r="J75" i="235"/>
  <c r="J73" i="235"/>
  <c r="J72" i="235"/>
  <c r="J48" i="235"/>
  <c r="J47" i="235"/>
  <c r="J45" i="235"/>
  <c r="J44" i="235"/>
  <c r="J56" i="275" l="1"/>
  <c r="N57" i="275"/>
  <c r="N56" i="275"/>
  <c r="J57" i="275"/>
  <c r="N54" i="275"/>
  <c r="N53" i="275"/>
  <c r="J53" i="275"/>
  <c r="C74" i="284" l="1"/>
  <c r="D77" i="284"/>
  <c r="D76" i="284"/>
  <c r="D75" i="284"/>
  <c r="D72" i="284"/>
  <c r="D71" i="284"/>
  <c r="D70" i="284"/>
  <c r="C69" i="284"/>
  <c r="D61" i="284"/>
  <c r="D60" i="284"/>
  <c r="C59" i="284"/>
  <c r="D56" i="284"/>
  <c r="D55" i="284"/>
  <c r="C54" i="284"/>
  <c r="C24" i="284"/>
  <c r="C19" i="284"/>
  <c r="C14" i="284"/>
  <c r="C9" i="284"/>
  <c r="E45" i="284"/>
  <c r="E44" i="284"/>
  <c r="E43" i="284"/>
  <c r="E40" i="284"/>
  <c r="E39" i="284"/>
  <c r="E38" i="284"/>
  <c r="E27" i="284"/>
  <c r="E26" i="284"/>
  <c r="E25" i="284"/>
  <c r="E22" i="284"/>
  <c r="E21" i="284"/>
  <c r="E20" i="284"/>
  <c r="E17" i="284"/>
  <c r="E16" i="284"/>
  <c r="E15" i="284"/>
  <c r="H177" i="202"/>
  <c r="H11" i="202"/>
  <c r="I21" i="284" l="1"/>
  <c r="H21" i="284"/>
  <c r="G21" i="284"/>
  <c r="F37" i="290" s="1"/>
  <c r="G37" i="290" s="1"/>
  <c r="F21" i="284"/>
  <c r="F40" i="284"/>
  <c r="I40" i="284"/>
  <c r="H40" i="284"/>
  <c r="G40" i="284"/>
  <c r="F56" i="290" s="1"/>
  <c r="G56" i="290" s="1"/>
  <c r="H10" i="284"/>
  <c r="G10" i="284"/>
  <c r="F26" i="290" s="1"/>
  <c r="G26" i="290" s="1"/>
  <c r="F10" i="284"/>
  <c r="I10" i="284"/>
  <c r="G22" i="284"/>
  <c r="F38" i="290" s="1"/>
  <c r="G38" i="290" s="1"/>
  <c r="H22" i="284"/>
  <c r="F22" i="284"/>
  <c r="I22" i="284"/>
  <c r="I43" i="284"/>
  <c r="G43" i="284"/>
  <c r="F59" i="290" s="1"/>
  <c r="G59" i="290" s="1"/>
  <c r="H43" i="284"/>
  <c r="F43" i="284"/>
  <c r="H11" i="284"/>
  <c r="F11" i="284"/>
  <c r="I11" i="284"/>
  <c r="G11" i="284"/>
  <c r="F27" i="290" s="1"/>
  <c r="G27" i="290" s="1"/>
  <c r="F25" i="284"/>
  <c r="I25" i="284"/>
  <c r="H25" i="284"/>
  <c r="G25" i="284"/>
  <c r="F41" i="290" s="1"/>
  <c r="G41" i="290" s="1"/>
  <c r="I44" i="284"/>
  <c r="F44" i="284"/>
  <c r="H44" i="284"/>
  <c r="G44" i="284"/>
  <c r="F60" i="290" s="1"/>
  <c r="G60" i="290" s="1"/>
  <c r="I12" i="284"/>
  <c r="H12" i="284"/>
  <c r="G12" i="284"/>
  <c r="F28" i="290" s="1"/>
  <c r="G28" i="290" s="1"/>
  <c r="F12" i="284"/>
  <c r="F26" i="284"/>
  <c r="H26" i="284"/>
  <c r="G26" i="284"/>
  <c r="F42" i="290" s="1"/>
  <c r="G42" i="290" s="1"/>
  <c r="I26" i="284"/>
  <c r="I45" i="284"/>
  <c r="H45" i="284"/>
  <c r="G45" i="284"/>
  <c r="F61" i="290" s="1"/>
  <c r="G61" i="290" s="1"/>
  <c r="F45" i="284"/>
  <c r="G15" i="284"/>
  <c r="F31" i="290" s="1"/>
  <c r="G31" i="290" s="1"/>
  <c r="I15" i="284"/>
  <c r="F15" i="284"/>
  <c r="H15" i="284"/>
  <c r="F27" i="284"/>
  <c r="H27" i="284"/>
  <c r="G27" i="284"/>
  <c r="F43" i="290" s="1"/>
  <c r="G43" i="290" s="1"/>
  <c r="I27" i="284"/>
  <c r="I38" i="284"/>
  <c r="F38" i="284"/>
  <c r="H38" i="284"/>
  <c r="G38" i="284"/>
  <c r="F54" i="290" s="1"/>
  <c r="G54" i="290" s="1"/>
  <c r="I20" i="284"/>
  <c r="F20" i="284"/>
  <c r="H20" i="284"/>
  <c r="G20" i="284"/>
  <c r="F36" i="290" s="1"/>
  <c r="G36" i="290" s="1"/>
  <c r="F39" i="284"/>
  <c r="G39" i="284"/>
  <c r="F55" i="290" s="1"/>
  <c r="G55" i="290" s="1"/>
  <c r="H39" i="284"/>
  <c r="I39" i="284"/>
  <c r="C42" i="284"/>
  <c r="C37" i="284"/>
  <c r="H122" i="184"/>
  <c r="H71" i="184"/>
  <c r="H9" i="184"/>
  <c r="C29" i="284"/>
  <c r="I6" i="284"/>
  <c r="H6" i="284"/>
  <c r="G6" i="284"/>
  <c r="F6" i="284"/>
  <c r="O120" i="282"/>
  <c r="O119" i="282"/>
  <c r="N120" i="282"/>
  <c r="N119" i="282"/>
  <c r="M120" i="282"/>
  <c r="M119" i="282"/>
  <c r="K120" i="282"/>
  <c r="K119" i="282"/>
  <c r="J120" i="282"/>
  <c r="J119" i="282"/>
  <c r="I119" i="282"/>
  <c r="I120" i="282"/>
  <c r="I122" i="282"/>
  <c r="J122" i="282"/>
  <c r="K122" i="282"/>
  <c r="M122" i="282"/>
  <c r="N122" i="282"/>
  <c r="O122" i="282"/>
  <c r="E123" i="282"/>
  <c r="F124" i="282"/>
  <c r="F125" i="282"/>
  <c r="F126" i="282"/>
  <c r="E129" i="282"/>
  <c r="F130" i="282"/>
  <c r="F131" i="282"/>
  <c r="E134" i="282"/>
  <c r="F135" i="282"/>
  <c r="F136" i="282"/>
  <c r="E139" i="282"/>
  <c r="F140" i="282"/>
  <c r="F141" i="282"/>
  <c r="F142" i="282"/>
  <c r="F143" i="282"/>
  <c r="F144" i="282"/>
  <c r="E148" i="282"/>
  <c r="G57" i="290" l="1"/>
  <c r="G39" i="290"/>
  <c r="G44" i="290"/>
  <c r="G62" i="290"/>
  <c r="G29" i="290"/>
  <c r="G46" i="284"/>
  <c r="F62" i="290" s="1"/>
  <c r="F28" i="284"/>
  <c r="G41" i="284"/>
  <c r="F57" i="290" s="1"/>
  <c r="H41" i="284"/>
  <c r="H23" i="284"/>
  <c r="I46" i="284"/>
  <c r="F46" i="284"/>
  <c r="H46" i="284"/>
  <c r="I41" i="284"/>
  <c r="F41" i="284"/>
  <c r="H28" i="284"/>
  <c r="G28" i="284"/>
  <c r="F44" i="290" s="1"/>
  <c r="I28" i="284"/>
  <c r="G23" i="284"/>
  <c r="F39" i="290" s="1"/>
  <c r="I23" i="284"/>
  <c r="F23" i="284"/>
  <c r="F13" i="284"/>
  <c r="I13" i="284"/>
  <c r="G13" i="284"/>
  <c r="F29" i="290" s="1"/>
  <c r="H13" i="284"/>
  <c r="J215" i="249"/>
  <c r="H77" i="284" s="1"/>
  <c r="J216" i="249"/>
  <c r="I77" i="284" s="1"/>
  <c r="J213" i="249"/>
  <c r="J212" i="249"/>
  <c r="J210" i="249"/>
  <c r="J209" i="249"/>
  <c r="J207" i="249"/>
  <c r="J206" i="249"/>
  <c r="J179" i="249"/>
  <c r="I76" i="284" s="1"/>
  <c r="J178" i="249"/>
  <c r="H76" i="284" s="1"/>
  <c r="J176" i="249"/>
  <c r="J175" i="249"/>
  <c r="J173" i="249"/>
  <c r="J172" i="249"/>
  <c r="J170" i="249"/>
  <c r="J169" i="249"/>
  <c r="J142" i="249"/>
  <c r="I75" i="284" s="1"/>
  <c r="J141" i="249"/>
  <c r="H75" i="284" s="1"/>
  <c r="J135" i="249"/>
  <c r="J139" i="249"/>
  <c r="J138" i="249"/>
  <c r="F70" i="275"/>
  <c r="F69" i="275"/>
  <c r="F68" i="275"/>
  <c r="F64" i="275"/>
  <c r="F63" i="275"/>
  <c r="F62" i="275"/>
  <c r="J257" i="242"/>
  <c r="E248" i="242"/>
  <c r="E249" i="242"/>
  <c r="E244" i="242"/>
  <c r="E245" i="242"/>
  <c r="E239" i="242"/>
  <c r="E240" i="242"/>
  <c r="F304" i="242"/>
  <c r="F305" i="242"/>
  <c r="F306" i="242"/>
  <c r="F307" i="242"/>
  <c r="F308" i="242"/>
  <c r="F296" i="242"/>
  <c r="F297" i="242"/>
  <c r="F298" i="242"/>
  <c r="F299" i="242"/>
  <c r="F300" i="242"/>
  <c r="F287" i="242"/>
  <c r="F288" i="242"/>
  <c r="F289" i="242"/>
  <c r="F290" i="242"/>
  <c r="F291" i="242"/>
  <c r="F279" i="242"/>
  <c r="F280" i="242"/>
  <c r="F281" i="242"/>
  <c r="F282" i="242"/>
  <c r="F283" i="242"/>
  <c r="C274" i="242"/>
  <c r="B312" i="242" s="1"/>
  <c r="H265" i="242"/>
  <c r="H266" i="242"/>
  <c r="H267" i="242"/>
  <c r="H268" i="242"/>
  <c r="H269" i="242"/>
  <c r="G265" i="242"/>
  <c r="G266" i="242"/>
  <c r="G267" i="242"/>
  <c r="G268" i="242"/>
  <c r="G269" i="242"/>
  <c r="D363" i="177"/>
  <c r="B34" i="242" s="1"/>
  <c r="D364" i="177"/>
  <c r="B129" i="242" s="1"/>
  <c r="D365" i="177"/>
  <c r="B229" i="242" s="1"/>
  <c r="F204" i="242"/>
  <c r="F205" i="242"/>
  <c r="F206" i="242"/>
  <c r="F207" i="242"/>
  <c r="F208" i="242"/>
  <c r="F196" i="242"/>
  <c r="F197" i="242"/>
  <c r="F198" i="242"/>
  <c r="F199" i="242"/>
  <c r="F200" i="242"/>
  <c r="F187" i="242"/>
  <c r="F188" i="242"/>
  <c r="F189" i="242"/>
  <c r="F190" i="242"/>
  <c r="F191" i="242"/>
  <c r="F179" i="242"/>
  <c r="F180" i="242"/>
  <c r="F181" i="242"/>
  <c r="F182" i="242"/>
  <c r="F183" i="242"/>
  <c r="H165" i="242"/>
  <c r="H166" i="242"/>
  <c r="H167" i="242"/>
  <c r="H168" i="242"/>
  <c r="H169" i="242"/>
  <c r="G165" i="242"/>
  <c r="G166" i="242"/>
  <c r="G167" i="242"/>
  <c r="G168" i="242"/>
  <c r="G169" i="242"/>
  <c r="F104" i="242"/>
  <c r="F105" i="242"/>
  <c r="F106" i="242"/>
  <c r="F107" i="242"/>
  <c r="F108" i="242"/>
  <c r="F94" i="242"/>
  <c r="F95" i="242"/>
  <c r="F96" i="242"/>
  <c r="F97" i="242"/>
  <c r="F98" i="242"/>
  <c r="H63" i="242"/>
  <c r="H64" i="242"/>
  <c r="H65" i="242"/>
  <c r="H66" i="242"/>
  <c r="H67" i="242"/>
  <c r="F85" i="242"/>
  <c r="F86" i="242"/>
  <c r="F87" i="242"/>
  <c r="F88" i="242"/>
  <c r="F89" i="242"/>
  <c r="F77" i="242"/>
  <c r="F78" i="242"/>
  <c r="F79" i="242"/>
  <c r="F80" i="242"/>
  <c r="F81" i="242"/>
  <c r="G63" i="242"/>
  <c r="G64" i="242"/>
  <c r="G65" i="242"/>
  <c r="G66" i="242"/>
  <c r="G67" i="242"/>
  <c r="F52" i="275"/>
  <c r="D409" i="177" s="1"/>
  <c r="F53" i="275"/>
  <c r="D410" i="177" s="1"/>
  <c r="F54" i="275"/>
  <c r="D411" i="177" s="1"/>
  <c r="F55" i="275"/>
  <c r="D412" i="177" s="1"/>
  <c r="F56" i="275"/>
  <c r="D413" i="177" s="1"/>
  <c r="F57" i="275"/>
  <c r="D414" i="177" s="1"/>
  <c r="J133" i="249"/>
  <c r="J132" i="249"/>
  <c r="I78" i="284" l="1"/>
  <c r="H78" i="284"/>
  <c r="J68" i="275"/>
  <c r="F75" i="284"/>
  <c r="N68" i="275"/>
  <c r="G75" i="284"/>
  <c r="F93" i="290" s="1"/>
  <c r="G93" i="290" s="1"/>
  <c r="J69" i="275"/>
  <c r="F76" i="284"/>
  <c r="J70" i="275"/>
  <c r="F77" i="284"/>
  <c r="N69" i="275"/>
  <c r="G76" i="284"/>
  <c r="F94" i="290" s="1"/>
  <c r="G94" i="290" s="1"/>
  <c r="N70" i="275"/>
  <c r="G77" i="284"/>
  <c r="F95" i="290" s="1"/>
  <c r="G95" i="290" s="1"/>
  <c r="J270" i="242"/>
  <c r="J68" i="242"/>
  <c r="J170" i="242"/>
  <c r="R183" i="179"/>
  <c r="R182" i="179"/>
  <c r="R181" i="179"/>
  <c r="R180" i="179"/>
  <c r="R179" i="179"/>
  <c r="M212" i="203" s="1"/>
  <c r="Q212" i="203" s="1"/>
  <c r="R178" i="179"/>
  <c r="M214" i="203" s="1"/>
  <c r="Q214" i="203" s="1"/>
  <c r="Q183" i="179"/>
  <c r="Q182" i="179"/>
  <c r="Q181" i="179"/>
  <c r="Q180" i="179"/>
  <c r="Q179" i="179"/>
  <c r="L212" i="203" s="1"/>
  <c r="P212" i="203" s="1"/>
  <c r="Q178" i="179"/>
  <c r="L214" i="203" s="1"/>
  <c r="P214" i="203" s="1"/>
  <c r="P183" i="179"/>
  <c r="P182" i="179"/>
  <c r="P181" i="179"/>
  <c r="P180" i="179"/>
  <c r="P179" i="179"/>
  <c r="K212" i="203" s="1"/>
  <c r="O212" i="203" s="1"/>
  <c r="P178" i="179"/>
  <c r="O183" i="179"/>
  <c r="O182" i="179"/>
  <c r="O181" i="179"/>
  <c r="O180" i="179"/>
  <c r="O179" i="179"/>
  <c r="J212" i="203" s="1"/>
  <c r="N212" i="203" s="1"/>
  <c r="O178" i="179"/>
  <c r="J216" i="203" s="1"/>
  <c r="N216" i="203" s="1"/>
  <c r="O197" i="179"/>
  <c r="O196" i="179"/>
  <c r="O195" i="179"/>
  <c r="O194" i="179"/>
  <c r="O193" i="179"/>
  <c r="O192" i="179"/>
  <c r="J226" i="203" s="1"/>
  <c r="N226" i="203" s="1"/>
  <c r="O191" i="179"/>
  <c r="J227" i="203" s="1"/>
  <c r="N227" i="203" s="1"/>
  <c r="M177" i="179"/>
  <c r="L177" i="179"/>
  <c r="M193" i="203"/>
  <c r="M194" i="203"/>
  <c r="M195" i="203"/>
  <c r="M196" i="203"/>
  <c r="M197" i="203"/>
  <c r="M198" i="203"/>
  <c r="M199" i="203"/>
  <c r="M200" i="203"/>
  <c r="M201" i="203"/>
  <c r="L193" i="203"/>
  <c r="L194" i="203"/>
  <c r="L195" i="203"/>
  <c r="L196" i="203"/>
  <c r="L197" i="203"/>
  <c r="L198" i="203"/>
  <c r="L199" i="203"/>
  <c r="L200" i="203"/>
  <c r="L201" i="203"/>
  <c r="I193" i="203"/>
  <c r="I194" i="203"/>
  <c r="I195" i="203"/>
  <c r="I196" i="203"/>
  <c r="I197" i="203"/>
  <c r="I198" i="203"/>
  <c r="I199" i="203"/>
  <c r="I200" i="203"/>
  <c r="I201" i="203"/>
  <c r="M180" i="203"/>
  <c r="M181" i="203"/>
  <c r="M182" i="203"/>
  <c r="M183" i="203"/>
  <c r="M184" i="203"/>
  <c r="M185" i="203"/>
  <c r="M186" i="203"/>
  <c r="M187" i="203"/>
  <c r="M188" i="203"/>
  <c r="L180" i="203"/>
  <c r="L181" i="203"/>
  <c r="L182" i="203"/>
  <c r="L183" i="203"/>
  <c r="L184" i="203"/>
  <c r="L185" i="203"/>
  <c r="L186" i="203"/>
  <c r="L187" i="203"/>
  <c r="L188" i="203"/>
  <c r="I180" i="203"/>
  <c r="I181" i="203"/>
  <c r="I182" i="203"/>
  <c r="I183" i="203"/>
  <c r="I184" i="203"/>
  <c r="I185" i="203"/>
  <c r="I186" i="203"/>
  <c r="I187" i="203"/>
  <c r="I188" i="203"/>
  <c r="M166" i="203"/>
  <c r="M167" i="203"/>
  <c r="M168" i="203"/>
  <c r="M169" i="203"/>
  <c r="M170" i="203"/>
  <c r="M171" i="203"/>
  <c r="M172" i="203"/>
  <c r="M173" i="203"/>
  <c r="M174" i="203"/>
  <c r="M175" i="203"/>
  <c r="L166" i="203"/>
  <c r="L167" i="203"/>
  <c r="L168" i="203"/>
  <c r="L169" i="203"/>
  <c r="L170" i="203"/>
  <c r="L171" i="203"/>
  <c r="L172" i="203"/>
  <c r="L173" i="203"/>
  <c r="L174" i="203"/>
  <c r="L175" i="203"/>
  <c r="K147" i="203"/>
  <c r="M147" i="203" s="1"/>
  <c r="K148" i="203"/>
  <c r="L148" i="203" s="1"/>
  <c r="K149" i="203"/>
  <c r="M149" i="203" s="1"/>
  <c r="K150" i="203"/>
  <c r="M150" i="203" s="1"/>
  <c r="K151" i="203"/>
  <c r="M151" i="203" s="1"/>
  <c r="K152" i="203"/>
  <c r="M152" i="203" s="1"/>
  <c r="K153" i="203"/>
  <c r="M153" i="203" s="1"/>
  <c r="K154" i="203"/>
  <c r="M154" i="203" s="1"/>
  <c r="K155" i="203"/>
  <c r="M155" i="203" s="1"/>
  <c r="K156" i="203"/>
  <c r="L156" i="203" s="1"/>
  <c r="K157" i="203"/>
  <c r="L157" i="203" s="1"/>
  <c r="K158" i="203"/>
  <c r="L158" i="203" s="1"/>
  <c r="K159" i="203"/>
  <c r="M159" i="203" s="1"/>
  <c r="K160" i="203"/>
  <c r="M160" i="203" s="1"/>
  <c r="K161" i="203"/>
  <c r="M161" i="203" s="1"/>
  <c r="M127" i="203"/>
  <c r="M128" i="203"/>
  <c r="M129" i="203"/>
  <c r="M130" i="203"/>
  <c r="M131" i="203"/>
  <c r="M132" i="203"/>
  <c r="M133" i="203"/>
  <c r="M134" i="203"/>
  <c r="M135" i="203"/>
  <c r="L127" i="203"/>
  <c r="L128" i="203"/>
  <c r="L129" i="203"/>
  <c r="L130" i="203"/>
  <c r="L131" i="203"/>
  <c r="L132" i="203"/>
  <c r="L133" i="203"/>
  <c r="L134" i="203"/>
  <c r="L135" i="203"/>
  <c r="I127" i="203"/>
  <c r="I128" i="203"/>
  <c r="I129" i="203"/>
  <c r="I130" i="203"/>
  <c r="I131" i="203"/>
  <c r="I132" i="203"/>
  <c r="I133" i="203"/>
  <c r="I134" i="203"/>
  <c r="I135" i="203"/>
  <c r="M114" i="203"/>
  <c r="M115" i="203"/>
  <c r="M116" i="203"/>
  <c r="M117" i="203"/>
  <c r="M118" i="203"/>
  <c r="M119" i="203"/>
  <c r="M120" i="203"/>
  <c r="M121" i="203"/>
  <c r="M122" i="203"/>
  <c r="L114" i="203"/>
  <c r="L115" i="203"/>
  <c r="L116" i="203"/>
  <c r="L117" i="203"/>
  <c r="L118" i="203"/>
  <c r="L119" i="203"/>
  <c r="L120" i="203"/>
  <c r="L121" i="203"/>
  <c r="L122" i="203"/>
  <c r="I114" i="203"/>
  <c r="I115" i="203"/>
  <c r="I116" i="203"/>
  <c r="I117" i="203"/>
  <c r="I118" i="203"/>
  <c r="I119" i="203"/>
  <c r="I120" i="203"/>
  <c r="I121" i="203"/>
  <c r="I122" i="203"/>
  <c r="M100" i="203"/>
  <c r="M101" i="203"/>
  <c r="M102" i="203"/>
  <c r="M103" i="203"/>
  <c r="M104" i="203"/>
  <c r="M105" i="203"/>
  <c r="M106" i="203"/>
  <c r="M107" i="203"/>
  <c r="M108" i="203"/>
  <c r="M109" i="203"/>
  <c r="L100" i="203"/>
  <c r="L101" i="203"/>
  <c r="L102" i="203"/>
  <c r="L103" i="203"/>
  <c r="L104" i="203"/>
  <c r="L105" i="203"/>
  <c r="L106" i="203"/>
  <c r="L107" i="203"/>
  <c r="L108" i="203"/>
  <c r="L109" i="203"/>
  <c r="K81" i="203"/>
  <c r="L81" i="203" s="1"/>
  <c r="K82" i="203"/>
  <c r="L82" i="203" s="1"/>
  <c r="K83" i="203"/>
  <c r="L83" i="203" s="1"/>
  <c r="K84" i="203"/>
  <c r="M84" i="203" s="1"/>
  <c r="K85" i="203"/>
  <c r="M85" i="203" s="1"/>
  <c r="K86" i="203"/>
  <c r="M86" i="203" s="1"/>
  <c r="K87" i="203"/>
  <c r="M87" i="203" s="1"/>
  <c r="K88" i="203"/>
  <c r="L88" i="203" s="1"/>
  <c r="K89" i="203"/>
  <c r="M89" i="203" s="1"/>
  <c r="K90" i="203"/>
  <c r="L90" i="203" s="1"/>
  <c r="K91" i="203"/>
  <c r="L91" i="203" s="1"/>
  <c r="K92" i="203"/>
  <c r="M92" i="203" s="1"/>
  <c r="K93" i="203"/>
  <c r="L93" i="203" s="1"/>
  <c r="K94" i="203"/>
  <c r="M94" i="203" s="1"/>
  <c r="K95" i="203"/>
  <c r="M95" i="203" s="1"/>
  <c r="M61" i="203"/>
  <c r="M62" i="203"/>
  <c r="M63" i="203"/>
  <c r="M64" i="203"/>
  <c r="M65" i="203"/>
  <c r="M66" i="203"/>
  <c r="M67" i="203"/>
  <c r="M68" i="203"/>
  <c r="M69" i="203"/>
  <c r="L61" i="203"/>
  <c r="L62" i="203"/>
  <c r="L63" i="203"/>
  <c r="L64" i="203"/>
  <c r="L65" i="203"/>
  <c r="L66" i="203"/>
  <c r="L67" i="203"/>
  <c r="L68" i="203"/>
  <c r="L69" i="203"/>
  <c r="I61" i="203"/>
  <c r="I62" i="203"/>
  <c r="I63" i="203"/>
  <c r="I64" i="203"/>
  <c r="I65" i="203"/>
  <c r="I66" i="203"/>
  <c r="I67" i="203"/>
  <c r="I68" i="203"/>
  <c r="I69" i="203"/>
  <c r="M48" i="203"/>
  <c r="M49" i="203"/>
  <c r="M50" i="203"/>
  <c r="M51" i="203"/>
  <c r="M52" i="203"/>
  <c r="M53" i="203"/>
  <c r="M54" i="203"/>
  <c r="M55" i="203"/>
  <c r="M56" i="203"/>
  <c r="L48" i="203"/>
  <c r="L49" i="203"/>
  <c r="L50" i="203"/>
  <c r="L51" i="203"/>
  <c r="L52" i="203"/>
  <c r="L53" i="203"/>
  <c r="L54" i="203"/>
  <c r="L55" i="203"/>
  <c r="L56" i="203"/>
  <c r="I48" i="203"/>
  <c r="I49" i="203"/>
  <c r="I50" i="203"/>
  <c r="I51" i="203"/>
  <c r="I52" i="203"/>
  <c r="I53" i="203"/>
  <c r="I54" i="203"/>
  <c r="I55" i="203"/>
  <c r="I56" i="203"/>
  <c r="M34" i="203"/>
  <c r="M35" i="203"/>
  <c r="M36" i="203"/>
  <c r="M37" i="203"/>
  <c r="M38" i="203"/>
  <c r="M39" i="203"/>
  <c r="M40" i="203"/>
  <c r="M41" i="203"/>
  <c r="M42" i="203"/>
  <c r="M43" i="203"/>
  <c r="L34" i="203"/>
  <c r="L35" i="203"/>
  <c r="L36" i="203"/>
  <c r="L37" i="203"/>
  <c r="L38" i="203"/>
  <c r="L39" i="203"/>
  <c r="L40" i="203"/>
  <c r="L41" i="203"/>
  <c r="L42" i="203"/>
  <c r="L43" i="203"/>
  <c r="K15" i="203"/>
  <c r="L15" i="203" s="1"/>
  <c r="K16" i="203"/>
  <c r="L16" i="203" s="1"/>
  <c r="K17" i="203"/>
  <c r="M17" i="203" s="1"/>
  <c r="K18" i="203"/>
  <c r="L18" i="203" s="1"/>
  <c r="K19" i="203"/>
  <c r="M19" i="203" s="1"/>
  <c r="K20" i="203"/>
  <c r="M20" i="203" s="1"/>
  <c r="K21" i="203"/>
  <c r="M21" i="203" s="1"/>
  <c r="K22" i="203"/>
  <c r="M22" i="203" s="1"/>
  <c r="K23" i="203"/>
  <c r="M23" i="203" s="1"/>
  <c r="K24" i="203"/>
  <c r="L24" i="203" s="1"/>
  <c r="K25" i="203"/>
  <c r="L25" i="203" s="1"/>
  <c r="K26" i="203"/>
  <c r="M26" i="203" s="1"/>
  <c r="K27" i="203"/>
  <c r="L27" i="203" s="1"/>
  <c r="K28" i="203"/>
  <c r="M28" i="203" s="1"/>
  <c r="K29" i="203"/>
  <c r="L29" i="203" s="1"/>
  <c r="H142" i="203"/>
  <c r="H76" i="203"/>
  <c r="H10" i="203"/>
  <c r="J30" i="275"/>
  <c r="N69" i="288" s="1"/>
  <c r="N30" i="275"/>
  <c r="N31" i="275"/>
  <c r="B6" i="274"/>
  <c r="G96" i="290" l="1"/>
  <c r="G16" i="290" s="1"/>
  <c r="J71" i="275"/>
  <c r="N71" i="275"/>
  <c r="G78" i="284"/>
  <c r="F96" i="290" s="1"/>
  <c r="F16" i="290" s="1"/>
  <c r="F78" i="284"/>
  <c r="M88" i="203"/>
  <c r="M27" i="203"/>
  <c r="J231" i="203"/>
  <c r="N231" i="203" s="1"/>
  <c r="J230" i="203"/>
  <c r="N230" i="203" s="1"/>
  <c r="J229" i="203"/>
  <c r="N229" i="203" s="1"/>
  <c r="J228" i="203"/>
  <c r="N228" i="203" s="1"/>
  <c r="M18" i="203"/>
  <c r="K213" i="203"/>
  <c r="O213" i="203" s="1"/>
  <c r="M93" i="203"/>
  <c r="L149" i="203"/>
  <c r="M157" i="203"/>
  <c r="M215" i="203"/>
  <c r="Q215" i="203" s="1"/>
  <c r="L153" i="203"/>
  <c r="L154" i="203"/>
  <c r="L87" i="203"/>
  <c r="M213" i="203"/>
  <c r="Q213" i="203" s="1"/>
  <c r="L215" i="203"/>
  <c r="P215" i="203" s="1"/>
  <c r="M217" i="203"/>
  <c r="Q217" i="203" s="1"/>
  <c r="M216" i="203"/>
  <c r="Q216" i="203" s="1"/>
  <c r="L89" i="203"/>
  <c r="L23" i="203"/>
  <c r="L155" i="203"/>
  <c r="K216" i="203"/>
  <c r="O216" i="203" s="1"/>
  <c r="L213" i="203"/>
  <c r="P213" i="203" s="1"/>
  <c r="L17" i="203"/>
  <c r="K215" i="203"/>
  <c r="O215" i="203" s="1"/>
  <c r="M25" i="203"/>
  <c r="M91" i="203"/>
  <c r="L147" i="203"/>
  <c r="L217" i="203"/>
  <c r="P217" i="203" s="1"/>
  <c r="M158" i="203"/>
  <c r="L216" i="203"/>
  <c r="P216" i="203" s="1"/>
  <c r="L95" i="203"/>
  <c r="L22" i="203"/>
  <c r="M83" i="203"/>
  <c r="K217" i="203"/>
  <c r="O217" i="203" s="1"/>
  <c r="L26" i="203"/>
  <c r="M81" i="203"/>
  <c r="K214" i="203"/>
  <c r="O214" i="203" s="1"/>
  <c r="L19" i="203"/>
  <c r="J214" i="203"/>
  <c r="N214" i="203" s="1"/>
  <c r="J213" i="203"/>
  <c r="N213" i="203" s="1"/>
  <c r="M29" i="203"/>
  <c r="L21" i="203"/>
  <c r="L151" i="203"/>
  <c r="J215" i="203"/>
  <c r="N215" i="203" s="1"/>
  <c r="J217" i="203"/>
  <c r="N217" i="203" s="1"/>
  <c r="L159" i="203"/>
  <c r="L85" i="203"/>
  <c r="L161" i="203"/>
  <c r="L150" i="203"/>
  <c r="L84" i="203"/>
  <c r="L92" i="203"/>
  <c r="K162" i="203"/>
  <c r="K96" i="203"/>
  <c r="K30" i="203"/>
  <c r="M15" i="203"/>
  <c r="L28" i="203"/>
  <c r="L20" i="203"/>
  <c r="M44" i="203"/>
  <c r="L94" i="203"/>
  <c r="L86" i="203"/>
  <c r="M110" i="203"/>
  <c r="L160" i="203"/>
  <c r="L152" i="203"/>
  <c r="M176" i="203"/>
  <c r="L136" i="203"/>
  <c r="L57" i="203"/>
  <c r="L123" i="203"/>
  <c r="L189" i="203"/>
  <c r="M24" i="203"/>
  <c r="M16" i="203"/>
  <c r="M57" i="203"/>
  <c r="M90" i="203"/>
  <c r="M82" i="203"/>
  <c r="M156" i="203"/>
  <c r="M148" i="203"/>
  <c r="M189" i="203"/>
  <c r="L44" i="203"/>
  <c r="L70" i="203"/>
  <c r="L176" i="203"/>
  <c r="L202" i="203"/>
  <c r="M70" i="203"/>
  <c r="L110" i="203"/>
  <c r="M136" i="203"/>
  <c r="M202" i="203"/>
  <c r="M123" i="203"/>
  <c r="N232" i="203" l="1"/>
  <c r="J232" i="203"/>
  <c r="N218" i="203"/>
  <c r="P218" i="203"/>
  <c r="H118" i="249" s="1"/>
  <c r="Q218" i="203"/>
  <c r="H119" i="249" s="1"/>
  <c r="O218" i="203"/>
  <c r="M218" i="203"/>
  <c r="L218" i="203"/>
  <c r="K218" i="203"/>
  <c r="J218" i="203"/>
  <c r="L96" i="203"/>
  <c r="L138" i="203" s="1"/>
  <c r="M96" i="203"/>
  <c r="M138" i="203" s="1"/>
  <c r="L30" i="203"/>
  <c r="L72" i="203" s="1"/>
  <c r="M30" i="203"/>
  <c r="M72" i="203" s="1"/>
  <c r="L162" i="203"/>
  <c r="L204" i="203" s="1"/>
  <c r="M162" i="203"/>
  <c r="M204" i="203" s="1"/>
  <c r="H116" i="249" l="1"/>
  <c r="H115" i="249"/>
  <c r="J157" i="242" l="1"/>
  <c r="C174" i="242"/>
  <c r="B212" i="242" s="1"/>
  <c r="E148" i="242"/>
  <c r="E149" i="242"/>
  <c r="B112" i="242" l="1"/>
  <c r="H11" i="188" l="1"/>
  <c r="H126" i="188"/>
  <c r="H74" i="188"/>
  <c r="H95" i="202" l="1"/>
  <c r="J128" i="271" l="1"/>
  <c r="H258" i="237" s="1"/>
  <c r="J258" i="237" s="1"/>
  <c r="M140" i="282" s="1"/>
  <c r="J129" i="271"/>
  <c r="H324" i="237" s="1"/>
  <c r="J324" i="237" s="1"/>
  <c r="N141" i="282" s="1"/>
  <c r="J130" i="271"/>
  <c r="H391" i="237" s="1"/>
  <c r="J391" i="237" s="1"/>
  <c r="O142" i="282" s="1"/>
  <c r="J131" i="271"/>
  <c r="H392" i="237" s="1"/>
  <c r="J392" i="237" s="1"/>
  <c r="O143" i="282" s="1"/>
  <c r="J132" i="271"/>
  <c r="H327" i="237" s="1"/>
  <c r="J327" i="237" s="1"/>
  <c r="N144" i="282" s="1"/>
  <c r="J123" i="271"/>
  <c r="H253" i="237" s="1"/>
  <c r="J253" i="237" s="1"/>
  <c r="M135" i="282" s="1"/>
  <c r="J124" i="271"/>
  <c r="H385" i="237" s="1"/>
  <c r="J385" i="237" s="1"/>
  <c r="O136" i="282" s="1"/>
  <c r="J118" i="271"/>
  <c r="H43" i="237" s="1"/>
  <c r="J43" i="237" s="1"/>
  <c r="I130" i="282" s="1"/>
  <c r="J119" i="271"/>
  <c r="H314" i="237" s="1"/>
  <c r="J314" i="237" s="1"/>
  <c r="N131" i="282" s="1"/>
  <c r="J112" i="271"/>
  <c r="H373" i="237" s="1"/>
  <c r="J113" i="271"/>
  <c r="H374" i="237" s="1"/>
  <c r="J374" i="237" s="1"/>
  <c r="O125" i="282" s="1"/>
  <c r="J114" i="271"/>
  <c r="H375" i="237" s="1"/>
  <c r="J375" i="237" s="1"/>
  <c r="O126" i="282" s="1"/>
  <c r="J49" i="271"/>
  <c r="J41" i="271"/>
  <c r="J36" i="271"/>
  <c r="J31" i="271"/>
  <c r="D61" i="177"/>
  <c r="D62" i="177"/>
  <c r="D63" i="177"/>
  <c r="D64" i="177"/>
  <c r="D65" i="177"/>
  <c r="D59" i="177"/>
  <c r="D60" i="177"/>
  <c r="D57" i="177"/>
  <c r="D58" i="177"/>
  <c r="D54" i="177"/>
  <c r="D55" i="177"/>
  <c r="D56" i="177"/>
  <c r="D128" i="271"/>
  <c r="E53" i="237" s="1"/>
  <c r="D129" i="271"/>
  <c r="E54" i="237" s="1"/>
  <c r="D130" i="271"/>
  <c r="C35" i="228" s="1"/>
  <c r="D131" i="271"/>
  <c r="E56" i="237" s="1"/>
  <c r="D132" i="271"/>
  <c r="E57" i="237" s="1"/>
  <c r="D123" i="271"/>
  <c r="E48" i="237" s="1"/>
  <c r="D124" i="271"/>
  <c r="E49" i="237" s="1"/>
  <c r="D118" i="271"/>
  <c r="E43" i="237" s="1"/>
  <c r="D119" i="271"/>
  <c r="E44" i="237" s="1"/>
  <c r="D112" i="271"/>
  <c r="E37" i="237" s="1"/>
  <c r="D113" i="271"/>
  <c r="C18" i="228" s="1"/>
  <c r="D114" i="271"/>
  <c r="C19" i="228" s="1"/>
  <c r="D92" i="271"/>
  <c r="D93" i="271"/>
  <c r="D94" i="271"/>
  <c r="D95" i="271"/>
  <c r="D96" i="271"/>
  <c r="D87" i="271"/>
  <c r="D88" i="271"/>
  <c r="D82" i="271"/>
  <c r="D83" i="271"/>
  <c r="D76" i="271"/>
  <c r="D77" i="271"/>
  <c r="D78" i="271"/>
  <c r="G389" i="237"/>
  <c r="G390" i="237"/>
  <c r="G391" i="237"/>
  <c r="G392" i="237"/>
  <c r="G393" i="237"/>
  <c r="G384" i="237"/>
  <c r="G385" i="237"/>
  <c r="G379" i="237"/>
  <c r="G380" i="237"/>
  <c r="G373" i="237"/>
  <c r="G374" i="237"/>
  <c r="G375" i="237"/>
  <c r="E389" i="237"/>
  <c r="E390" i="237"/>
  <c r="E391" i="237"/>
  <c r="E392" i="237"/>
  <c r="E393" i="237"/>
  <c r="E384" i="237"/>
  <c r="E385" i="237"/>
  <c r="E379" i="237"/>
  <c r="E380" i="237"/>
  <c r="E373" i="237"/>
  <c r="E374" i="237"/>
  <c r="E375" i="237"/>
  <c r="G323" i="237"/>
  <c r="G324" i="237"/>
  <c r="G325" i="237"/>
  <c r="G326" i="237"/>
  <c r="G327" i="237"/>
  <c r="G318" i="237"/>
  <c r="G319" i="237"/>
  <c r="G313" i="237"/>
  <c r="G314" i="237"/>
  <c r="G307" i="237"/>
  <c r="G308" i="237"/>
  <c r="G309" i="237"/>
  <c r="E323" i="237"/>
  <c r="E324" i="237"/>
  <c r="E325" i="237"/>
  <c r="E326" i="237"/>
  <c r="E327" i="237"/>
  <c r="E318" i="237"/>
  <c r="E319" i="237"/>
  <c r="E313" i="237"/>
  <c r="E314" i="237"/>
  <c r="E307" i="237"/>
  <c r="E308" i="237"/>
  <c r="E309" i="237"/>
  <c r="H261" i="237"/>
  <c r="J261" i="237" s="1"/>
  <c r="M143" i="282" s="1"/>
  <c r="G258" i="237"/>
  <c r="G259" i="237"/>
  <c r="G260" i="237"/>
  <c r="G261" i="237"/>
  <c r="G262" i="237"/>
  <c r="G253" i="237"/>
  <c r="G254" i="237"/>
  <c r="G248" i="237"/>
  <c r="G249" i="237"/>
  <c r="G242" i="237"/>
  <c r="G243" i="237"/>
  <c r="G244" i="237"/>
  <c r="E258" i="237"/>
  <c r="E259" i="237"/>
  <c r="E260" i="237"/>
  <c r="E261" i="237"/>
  <c r="E262" i="237"/>
  <c r="E253" i="237"/>
  <c r="E254" i="237"/>
  <c r="E248" i="237"/>
  <c r="E249" i="237"/>
  <c r="E242" i="237"/>
  <c r="E243" i="237"/>
  <c r="E244" i="237"/>
  <c r="H194" i="237"/>
  <c r="J194" i="237" s="1"/>
  <c r="K143" i="282" s="1"/>
  <c r="G191" i="237"/>
  <c r="G192" i="237"/>
  <c r="G193" i="237"/>
  <c r="G194" i="237"/>
  <c r="G195" i="237"/>
  <c r="G186" i="237"/>
  <c r="G187" i="237"/>
  <c r="G181" i="237"/>
  <c r="G182" i="237"/>
  <c r="G175" i="237"/>
  <c r="G176" i="237"/>
  <c r="G177" i="237"/>
  <c r="E191" i="237"/>
  <c r="E192" i="237"/>
  <c r="E193" i="237"/>
  <c r="E194" i="237"/>
  <c r="E195" i="237"/>
  <c r="E186" i="237"/>
  <c r="E187" i="237"/>
  <c r="E181" i="237"/>
  <c r="E182" i="237"/>
  <c r="E175" i="237"/>
  <c r="E176" i="237"/>
  <c r="E177" i="237"/>
  <c r="I125" i="237"/>
  <c r="I117" i="237"/>
  <c r="I112" i="237"/>
  <c r="I107" i="237"/>
  <c r="H123" i="237"/>
  <c r="J123" i="237" s="1"/>
  <c r="J143" i="282" s="1"/>
  <c r="G120" i="237"/>
  <c r="G121" i="237"/>
  <c r="G122" i="237"/>
  <c r="G123" i="237"/>
  <c r="G124" i="237"/>
  <c r="G115" i="237"/>
  <c r="G116" i="237"/>
  <c r="G110" i="237"/>
  <c r="G111" i="237"/>
  <c r="G104" i="237"/>
  <c r="G105" i="237"/>
  <c r="G106" i="237"/>
  <c r="E120" i="237"/>
  <c r="E121" i="237"/>
  <c r="E122" i="237"/>
  <c r="E123" i="237"/>
  <c r="E124" i="237"/>
  <c r="E115" i="237"/>
  <c r="E116" i="237"/>
  <c r="E110" i="237"/>
  <c r="E111" i="237"/>
  <c r="E104" i="237"/>
  <c r="E105" i="237"/>
  <c r="E106" i="237"/>
  <c r="I60" i="237"/>
  <c r="H53" i="237"/>
  <c r="J53" i="237" s="1"/>
  <c r="I140" i="282" s="1"/>
  <c r="H56" i="237"/>
  <c r="J56" i="237" s="1"/>
  <c r="I143" i="282" s="1"/>
  <c r="G53" i="237"/>
  <c r="G54" i="237"/>
  <c r="G55" i="237"/>
  <c r="G56" i="237"/>
  <c r="G57" i="237"/>
  <c r="G48" i="237"/>
  <c r="G49" i="237"/>
  <c r="G43" i="237"/>
  <c r="G44" i="237"/>
  <c r="G37" i="237"/>
  <c r="G38" i="237"/>
  <c r="G39" i="237"/>
  <c r="J36" i="228"/>
  <c r="J19" i="228" l="1"/>
  <c r="H177" i="237"/>
  <c r="J177" i="237" s="1"/>
  <c r="K126" i="282" s="1"/>
  <c r="H244" i="237"/>
  <c r="J244" i="237" s="1"/>
  <c r="M126" i="282" s="1"/>
  <c r="H39" i="237"/>
  <c r="J39" i="237" s="1"/>
  <c r="I126" i="282" s="1"/>
  <c r="H106" i="237"/>
  <c r="J106" i="237" s="1"/>
  <c r="J126" i="282" s="1"/>
  <c r="H44" i="237"/>
  <c r="J44" i="237" s="1"/>
  <c r="I131" i="282" s="1"/>
  <c r="H309" i="237"/>
  <c r="J309" i="237" s="1"/>
  <c r="N126" i="282" s="1"/>
  <c r="H326" i="237"/>
  <c r="J326" i="237" s="1"/>
  <c r="N143" i="282" s="1"/>
  <c r="P143" i="282" s="1"/>
  <c r="H181" i="237"/>
  <c r="J181" i="237" s="1"/>
  <c r="K130" i="282" s="1"/>
  <c r="C23" i="228"/>
  <c r="L143" i="282"/>
  <c r="C24" i="228"/>
  <c r="J34" i="228"/>
  <c r="J33" i="228"/>
  <c r="J24" i="228"/>
  <c r="H111" i="237"/>
  <c r="J111" i="237" s="1"/>
  <c r="J131" i="282" s="1"/>
  <c r="J28" i="228"/>
  <c r="H124" i="237"/>
  <c r="J124" i="237" s="1"/>
  <c r="J144" i="282" s="1"/>
  <c r="H195" i="237"/>
  <c r="J195" i="237" s="1"/>
  <c r="K144" i="282" s="1"/>
  <c r="C37" i="228"/>
  <c r="H389" i="237"/>
  <c r="J389" i="237" s="1"/>
  <c r="O140" i="282" s="1"/>
  <c r="H249" i="237"/>
  <c r="J249" i="237" s="1"/>
  <c r="M131" i="282" s="1"/>
  <c r="J37" i="228"/>
  <c r="H57" i="237"/>
  <c r="J57" i="237" s="1"/>
  <c r="I144" i="282" s="1"/>
  <c r="J17" i="228"/>
  <c r="H120" i="237"/>
  <c r="J120" i="237" s="1"/>
  <c r="J140" i="282" s="1"/>
  <c r="H182" i="237"/>
  <c r="J182" i="237" s="1"/>
  <c r="H191" i="237"/>
  <c r="J191" i="237" s="1"/>
  <c r="K140" i="282" s="1"/>
  <c r="E55" i="237"/>
  <c r="C36" i="228"/>
  <c r="H379" i="237"/>
  <c r="J379" i="237" s="1"/>
  <c r="O130" i="282" s="1"/>
  <c r="E39" i="237"/>
  <c r="J23" i="228"/>
  <c r="H110" i="237"/>
  <c r="H318" i="237"/>
  <c r="J318" i="237" s="1"/>
  <c r="N135" i="282" s="1"/>
  <c r="C33" i="228"/>
  <c r="C29" i="228"/>
  <c r="J29" i="228"/>
  <c r="E38" i="237"/>
  <c r="H104" i="237"/>
  <c r="J104" i="237" s="1"/>
  <c r="J124" i="282" s="1"/>
  <c r="H121" i="237"/>
  <c r="J121" i="237" s="1"/>
  <c r="J141" i="282" s="1"/>
  <c r="H55" i="237"/>
  <c r="J55" i="237" s="1"/>
  <c r="I142" i="282" s="1"/>
  <c r="H243" i="237"/>
  <c r="J243" i="237" s="1"/>
  <c r="M125" i="282" s="1"/>
  <c r="H38" i="237"/>
  <c r="J38" i="237" s="1"/>
  <c r="I125" i="282" s="1"/>
  <c r="H54" i="237"/>
  <c r="J54" i="237" s="1"/>
  <c r="I141" i="282" s="1"/>
  <c r="H116" i="237"/>
  <c r="J116" i="237" s="1"/>
  <c r="J136" i="282" s="1"/>
  <c r="H186" i="237"/>
  <c r="J186" i="237" s="1"/>
  <c r="K135" i="282" s="1"/>
  <c r="H187" i="237"/>
  <c r="J187" i="237" s="1"/>
  <c r="K136" i="282" s="1"/>
  <c r="J18" i="228"/>
  <c r="J35" i="228"/>
  <c r="H115" i="237"/>
  <c r="J115" i="237" s="1"/>
  <c r="J135" i="282" s="1"/>
  <c r="H49" i="237"/>
  <c r="J49" i="237" s="1"/>
  <c r="I136" i="282" s="1"/>
  <c r="H193" i="237"/>
  <c r="J193" i="237" s="1"/>
  <c r="K142" i="282" s="1"/>
  <c r="H48" i="237"/>
  <c r="J48" i="237" s="1"/>
  <c r="I135" i="282" s="1"/>
  <c r="H105" i="237"/>
  <c r="J105" i="237" s="1"/>
  <c r="J125" i="282" s="1"/>
  <c r="H122" i="237"/>
  <c r="J122" i="237" s="1"/>
  <c r="J142" i="282" s="1"/>
  <c r="H176" i="237"/>
  <c r="J176" i="237" s="1"/>
  <c r="K125" i="282" s="1"/>
  <c r="H192" i="237"/>
  <c r="J192" i="237" s="1"/>
  <c r="K141" i="282" s="1"/>
  <c r="H380" i="237"/>
  <c r="J380" i="237" s="1"/>
  <c r="O131" i="282" s="1"/>
  <c r="C28" i="228"/>
  <c r="H259" i="237"/>
  <c r="J259" i="237" s="1"/>
  <c r="M141" i="282" s="1"/>
  <c r="H175" i="237"/>
  <c r="J175" i="237" s="1"/>
  <c r="K124" i="282" s="1"/>
  <c r="H393" i="237"/>
  <c r="J393" i="237" s="1"/>
  <c r="O144" i="282" s="1"/>
  <c r="C17" i="228"/>
  <c r="C34" i="228"/>
  <c r="H37" i="237"/>
  <c r="J37" i="237" s="1"/>
  <c r="I124" i="282" s="1"/>
  <c r="H242" i="237"/>
  <c r="J242" i="237" s="1"/>
  <c r="M124" i="282" s="1"/>
  <c r="H323" i="237"/>
  <c r="J323" i="237" s="1"/>
  <c r="N140" i="282" s="1"/>
  <c r="G320" i="237"/>
  <c r="H307" i="237"/>
  <c r="J307" i="237" s="1"/>
  <c r="N124" i="282" s="1"/>
  <c r="H262" i="237"/>
  <c r="J262" i="237" s="1"/>
  <c r="M144" i="282" s="1"/>
  <c r="H319" i="237"/>
  <c r="J319" i="237" s="1"/>
  <c r="N136" i="282" s="1"/>
  <c r="H260" i="237"/>
  <c r="J260" i="237" s="1"/>
  <c r="M142" i="282" s="1"/>
  <c r="H254" i="237"/>
  <c r="J254" i="237" s="1"/>
  <c r="G386" i="237"/>
  <c r="J120" i="271"/>
  <c r="G45" i="237"/>
  <c r="G255" i="237"/>
  <c r="G376" i="237"/>
  <c r="G112" i="237"/>
  <c r="G381" i="237"/>
  <c r="J51" i="271"/>
  <c r="G310" i="237"/>
  <c r="H248" i="237"/>
  <c r="J248" i="237" s="1"/>
  <c r="M130" i="282" s="1"/>
  <c r="G117" i="237"/>
  <c r="H313" i="237"/>
  <c r="H315" i="237" s="1"/>
  <c r="G188" i="237"/>
  <c r="G263" i="237"/>
  <c r="H308" i="237"/>
  <c r="J308" i="237" s="1"/>
  <c r="N125" i="282" s="1"/>
  <c r="H325" i="237"/>
  <c r="J325" i="237" s="1"/>
  <c r="N142" i="282" s="1"/>
  <c r="G107" i="237"/>
  <c r="G250" i="237"/>
  <c r="G183" i="237"/>
  <c r="G245" i="237"/>
  <c r="J125" i="271"/>
  <c r="G315" i="237"/>
  <c r="G40" i="237"/>
  <c r="G125" i="237"/>
  <c r="G178" i="237"/>
  <c r="G58" i="237"/>
  <c r="G394" i="237"/>
  <c r="G196" i="237"/>
  <c r="G328" i="237"/>
  <c r="J133" i="271"/>
  <c r="G50" i="237"/>
  <c r="H376" i="237"/>
  <c r="J373" i="237"/>
  <c r="H384" i="237"/>
  <c r="J115" i="271"/>
  <c r="H390" i="237"/>
  <c r="J390" i="237" s="1"/>
  <c r="O141" i="282" s="1"/>
  <c r="J45" i="237"/>
  <c r="L126" i="282" l="1"/>
  <c r="H45" i="237"/>
  <c r="P126" i="282"/>
  <c r="J20" i="228"/>
  <c r="Q143" i="282"/>
  <c r="Q126" i="282"/>
  <c r="P144" i="282"/>
  <c r="J127" i="282"/>
  <c r="N127" i="282"/>
  <c r="K127" i="282"/>
  <c r="N145" i="282"/>
  <c r="I145" i="282"/>
  <c r="L140" i="282"/>
  <c r="J376" i="237"/>
  <c r="O124" i="282"/>
  <c r="O127" i="282" s="1"/>
  <c r="J255" i="237"/>
  <c r="M136" i="282"/>
  <c r="P142" i="282"/>
  <c r="Q144" i="282"/>
  <c r="L144" i="282"/>
  <c r="Q140" i="282"/>
  <c r="L135" i="282"/>
  <c r="P131" i="282"/>
  <c r="P141" i="282"/>
  <c r="L141" i="282"/>
  <c r="Q141" i="282"/>
  <c r="O145" i="282"/>
  <c r="L136" i="282"/>
  <c r="Q125" i="282"/>
  <c r="L125" i="282"/>
  <c r="K145" i="282"/>
  <c r="M127" i="282"/>
  <c r="P125" i="282"/>
  <c r="J183" i="237"/>
  <c r="K131" i="282"/>
  <c r="M145" i="282"/>
  <c r="L124" i="282"/>
  <c r="I127" i="282"/>
  <c r="Q142" i="282"/>
  <c r="L142" i="282"/>
  <c r="J145" i="282"/>
  <c r="P140" i="282"/>
  <c r="J30" i="228"/>
  <c r="J25" i="228"/>
  <c r="H112" i="237"/>
  <c r="J250" i="237"/>
  <c r="J38" i="228"/>
  <c r="H183" i="237"/>
  <c r="J125" i="237"/>
  <c r="J110" i="237"/>
  <c r="H125" i="237"/>
  <c r="J328" i="237"/>
  <c r="J320" i="237"/>
  <c r="J58" i="237"/>
  <c r="J394" i="237"/>
  <c r="J196" i="237"/>
  <c r="J178" i="237"/>
  <c r="J107" i="237"/>
  <c r="J117" i="237"/>
  <c r="J40" i="237"/>
  <c r="H178" i="237"/>
  <c r="H58" i="237"/>
  <c r="J188" i="237"/>
  <c r="J50" i="237"/>
  <c r="H117" i="237"/>
  <c r="H40" i="237"/>
  <c r="J381" i="237"/>
  <c r="H50" i="237"/>
  <c r="H196" i="237"/>
  <c r="H381" i="237"/>
  <c r="H188" i="237"/>
  <c r="H107" i="237"/>
  <c r="J245" i="237"/>
  <c r="H245" i="237"/>
  <c r="H250" i="237"/>
  <c r="J310" i="237"/>
  <c r="H255" i="237"/>
  <c r="G127" i="237"/>
  <c r="J263" i="237"/>
  <c r="G396" i="237"/>
  <c r="J313" i="237"/>
  <c r="H320" i="237"/>
  <c r="H328" i="237"/>
  <c r="G198" i="237"/>
  <c r="H263" i="237"/>
  <c r="G265" i="237"/>
  <c r="G330" i="237"/>
  <c r="H310" i="237"/>
  <c r="G60" i="237"/>
  <c r="J135" i="271"/>
  <c r="H394" i="237"/>
  <c r="J384" i="237"/>
  <c r="H386" i="237"/>
  <c r="L131" i="282" l="1"/>
  <c r="P145" i="282"/>
  <c r="L145" i="282"/>
  <c r="Q131" i="282"/>
  <c r="Q124" i="282"/>
  <c r="Q145" i="282"/>
  <c r="J112" i="237"/>
  <c r="J127" i="237" s="1"/>
  <c r="J130" i="282"/>
  <c r="J315" i="237"/>
  <c r="J330" i="237" s="1"/>
  <c r="N130" i="282"/>
  <c r="P136" i="282"/>
  <c r="Q136" i="282"/>
  <c r="Q127" i="282"/>
  <c r="L127" i="282"/>
  <c r="P124" i="282"/>
  <c r="P127" i="282" s="1"/>
  <c r="J386" i="237"/>
  <c r="J396" i="237" s="1"/>
  <c r="O135" i="282"/>
  <c r="J40" i="228"/>
  <c r="J198" i="237"/>
  <c r="H127" i="237"/>
  <c r="J60" i="237"/>
  <c r="H60" i="237"/>
  <c r="H198" i="237"/>
  <c r="J265" i="237"/>
  <c r="H265" i="237"/>
  <c r="H330" i="237"/>
  <c r="H396" i="237"/>
  <c r="P130" i="282" l="1"/>
  <c r="Q130" i="282"/>
  <c r="L130" i="282"/>
  <c r="Q135" i="282"/>
  <c r="P135" i="282"/>
  <c r="M235" i="187"/>
  <c r="M236" i="187"/>
  <c r="O236" i="187" s="1"/>
  <c r="M237" i="187"/>
  <c r="O237" i="187" s="1"/>
  <c r="M238" i="187"/>
  <c r="O238" i="187" s="1"/>
  <c r="M239" i="187"/>
  <c r="O239" i="187" s="1"/>
  <c r="M240" i="187"/>
  <c r="O240" i="187" s="1"/>
  <c r="M241" i="187"/>
  <c r="O241" i="187" s="1"/>
  <c r="M242" i="187"/>
  <c r="O242" i="187" s="1"/>
  <c r="M243" i="187"/>
  <c r="O243" i="187" s="1"/>
  <c r="M244" i="187"/>
  <c r="O244" i="187" s="1"/>
  <c r="M245" i="187"/>
  <c r="O245" i="187" s="1"/>
  <c r="M246" i="187"/>
  <c r="O246" i="187" s="1"/>
  <c r="M247" i="187"/>
  <c r="O247" i="187" s="1"/>
  <c r="M248" i="187"/>
  <c r="O248" i="187" s="1"/>
  <c r="M249" i="187"/>
  <c r="O249" i="187" s="1"/>
  <c r="L235" i="187"/>
  <c r="L236" i="187"/>
  <c r="N236" i="187" s="1"/>
  <c r="L237" i="187"/>
  <c r="N237" i="187" s="1"/>
  <c r="L238" i="187"/>
  <c r="N238" i="187" s="1"/>
  <c r="L239" i="187"/>
  <c r="N239" i="187" s="1"/>
  <c r="L240" i="187"/>
  <c r="N240" i="187" s="1"/>
  <c r="L241" i="187"/>
  <c r="N241" i="187" s="1"/>
  <c r="L242" i="187"/>
  <c r="N242" i="187" s="1"/>
  <c r="L243" i="187"/>
  <c r="N243" i="187" s="1"/>
  <c r="L244" i="187"/>
  <c r="N244" i="187" s="1"/>
  <c r="L245" i="187"/>
  <c r="N245" i="187" s="1"/>
  <c r="L246" i="187"/>
  <c r="N246" i="187" s="1"/>
  <c r="L247" i="187"/>
  <c r="N247" i="187" s="1"/>
  <c r="L248" i="187"/>
  <c r="N248" i="187" s="1"/>
  <c r="L249" i="187"/>
  <c r="N249" i="187" s="1"/>
  <c r="I235" i="187"/>
  <c r="I236" i="187"/>
  <c r="I237" i="187"/>
  <c r="I238" i="187"/>
  <c r="I239" i="187"/>
  <c r="I240" i="187"/>
  <c r="I241" i="187"/>
  <c r="I242" i="187"/>
  <c r="I243" i="187"/>
  <c r="I244" i="187"/>
  <c r="I245" i="187"/>
  <c r="I246" i="187"/>
  <c r="I247" i="187"/>
  <c r="I248" i="187"/>
  <c r="I249" i="187"/>
  <c r="M216" i="187"/>
  <c r="O216" i="187" s="1"/>
  <c r="M217" i="187"/>
  <c r="M218" i="187"/>
  <c r="O218" i="187" s="1"/>
  <c r="M219" i="187"/>
  <c r="O219" i="187" s="1"/>
  <c r="M220" i="187"/>
  <c r="O220" i="187" s="1"/>
  <c r="M221" i="187"/>
  <c r="O221" i="187" s="1"/>
  <c r="M222" i="187"/>
  <c r="O222" i="187" s="1"/>
  <c r="M223" i="187"/>
  <c r="O223" i="187" s="1"/>
  <c r="M224" i="187"/>
  <c r="O224" i="187" s="1"/>
  <c r="M225" i="187"/>
  <c r="O225" i="187" s="1"/>
  <c r="M226" i="187"/>
  <c r="O226" i="187" s="1"/>
  <c r="M227" i="187"/>
  <c r="O227" i="187" s="1"/>
  <c r="M228" i="187"/>
  <c r="O228" i="187" s="1"/>
  <c r="M229" i="187"/>
  <c r="O229" i="187" s="1"/>
  <c r="M230" i="187"/>
  <c r="O230" i="187" s="1"/>
  <c r="L216" i="187"/>
  <c r="L217" i="187"/>
  <c r="N217" i="187" s="1"/>
  <c r="L218" i="187"/>
  <c r="N218" i="187" s="1"/>
  <c r="L219" i="187"/>
  <c r="N219" i="187" s="1"/>
  <c r="L220" i="187"/>
  <c r="N220" i="187" s="1"/>
  <c r="L221" i="187"/>
  <c r="N221" i="187" s="1"/>
  <c r="L222" i="187"/>
  <c r="N222" i="187" s="1"/>
  <c r="L223" i="187"/>
  <c r="N223" i="187" s="1"/>
  <c r="L224" i="187"/>
  <c r="N224" i="187" s="1"/>
  <c r="L225" i="187"/>
  <c r="N225" i="187" s="1"/>
  <c r="L226" i="187"/>
  <c r="N226" i="187" s="1"/>
  <c r="L227" i="187"/>
  <c r="N227" i="187" s="1"/>
  <c r="L228" i="187"/>
  <c r="N228" i="187" s="1"/>
  <c r="L229" i="187"/>
  <c r="N229" i="187" s="1"/>
  <c r="L230" i="187"/>
  <c r="N230" i="187" s="1"/>
  <c r="I216" i="187"/>
  <c r="I217" i="187"/>
  <c r="I218" i="187"/>
  <c r="I219" i="187"/>
  <c r="I220" i="187"/>
  <c r="I221" i="187"/>
  <c r="I222" i="187"/>
  <c r="I223" i="187"/>
  <c r="I224" i="187"/>
  <c r="I225" i="187"/>
  <c r="I226" i="187"/>
  <c r="I227" i="187"/>
  <c r="I228" i="187"/>
  <c r="I229" i="187"/>
  <c r="I230" i="187"/>
  <c r="M197" i="187"/>
  <c r="O197" i="187" s="1"/>
  <c r="M198" i="187"/>
  <c r="O198" i="187" s="1"/>
  <c r="M199" i="187"/>
  <c r="O199" i="187" s="1"/>
  <c r="M200" i="187"/>
  <c r="O200" i="187" s="1"/>
  <c r="M201" i="187"/>
  <c r="O201" i="187" s="1"/>
  <c r="M202" i="187"/>
  <c r="O202" i="187" s="1"/>
  <c r="M203" i="187"/>
  <c r="O203" i="187" s="1"/>
  <c r="M204" i="187"/>
  <c r="O204" i="187" s="1"/>
  <c r="M205" i="187"/>
  <c r="O205" i="187" s="1"/>
  <c r="M206" i="187"/>
  <c r="O206" i="187" s="1"/>
  <c r="M207" i="187"/>
  <c r="O207" i="187" s="1"/>
  <c r="M208" i="187"/>
  <c r="O208" i="187" s="1"/>
  <c r="M209" i="187"/>
  <c r="O209" i="187" s="1"/>
  <c r="M210" i="187"/>
  <c r="O210" i="187" s="1"/>
  <c r="M211" i="187"/>
  <c r="O211" i="187" s="1"/>
  <c r="L197" i="187"/>
  <c r="N197" i="187" s="1"/>
  <c r="L198" i="187"/>
  <c r="N198" i="187" s="1"/>
  <c r="L199" i="187"/>
  <c r="N199" i="187" s="1"/>
  <c r="L200" i="187"/>
  <c r="N200" i="187" s="1"/>
  <c r="L201" i="187"/>
  <c r="N201" i="187" s="1"/>
  <c r="L202" i="187"/>
  <c r="N202" i="187" s="1"/>
  <c r="L203" i="187"/>
  <c r="N203" i="187" s="1"/>
  <c r="L204" i="187"/>
  <c r="N204" i="187" s="1"/>
  <c r="L205" i="187"/>
  <c r="N205" i="187" s="1"/>
  <c r="L206" i="187"/>
  <c r="N206" i="187" s="1"/>
  <c r="L207" i="187"/>
  <c r="N207" i="187" s="1"/>
  <c r="L208" i="187"/>
  <c r="N208" i="187" s="1"/>
  <c r="L209" i="187"/>
  <c r="N209" i="187" s="1"/>
  <c r="L210" i="187"/>
  <c r="N210" i="187" s="1"/>
  <c r="L211" i="187"/>
  <c r="N211" i="187" s="1"/>
  <c r="K180" i="187"/>
  <c r="L180" i="187" s="1"/>
  <c r="N180" i="187" s="1"/>
  <c r="K181" i="187"/>
  <c r="L181" i="187" s="1"/>
  <c r="N181" i="187" s="1"/>
  <c r="K182" i="187"/>
  <c r="M182" i="187" s="1"/>
  <c r="O182" i="187" s="1"/>
  <c r="K183" i="187"/>
  <c r="L183" i="187" s="1"/>
  <c r="N183" i="187" s="1"/>
  <c r="K184" i="187"/>
  <c r="M184" i="187" s="1"/>
  <c r="O184" i="187" s="1"/>
  <c r="K185" i="187"/>
  <c r="L185" i="187" s="1"/>
  <c r="N185" i="187" s="1"/>
  <c r="K186" i="187"/>
  <c r="L186" i="187" s="1"/>
  <c r="N186" i="187" s="1"/>
  <c r="K187" i="187"/>
  <c r="L187" i="187" s="1"/>
  <c r="N187" i="187" s="1"/>
  <c r="K188" i="187"/>
  <c r="L188" i="187" s="1"/>
  <c r="N188" i="187" s="1"/>
  <c r="K189" i="187"/>
  <c r="L189" i="187" s="1"/>
  <c r="N189" i="187" s="1"/>
  <c r="K190" i="187"/>
  <c r="M190" i="187" s="1"/>
  <c r="O190" i="187" s="1"/>
  <c r="K191" i="187"/>
  <c r="M191" i="187" s="1"/>
  <c r="O191" i="187" s="1"/>
  <c r="K192" i="187"/>
  <c r="M192" i="187" s="1"/>
  <c r="O192" i="187" s="1"/>
  <c r="M152" i="187"/>
  <c r="M153" i="187"/>
  <c r="O153" i="187" s="1"/>
  <c r="M154" i="187"/>
  <c r="O154" i="187" s="1"/>
  <c r="M155" i="187"/>
  <c r="O155" i="187" s="1"/>
  <c r="M156" i="187"/>
  <c r="O156" i="187" s="1"/>
  <c r="M157" i="187"/>
  <c r="O157" i="187" s="1"/>
  <c r="M158" i="187"/>
  <c r="O158" i="187" s="1"/>
  <c r="M159" i="187"/>
  <c r="O159" i="187" s="1"/>
  <c r="M160" i="187"/>
  <c r="O160" i="187" s="1"/>
  <c r="M161" i="187"/>
  <c r="O161" i="187" s="1"/>
  <c r="M162" i="187"/>
  <c r="O162" i="187" s="1"/>
  <c r="M163" i="187"/>
  <c r="O163" i="187" s="1"/>
  <c r="M164" i="187"/>
  <c r="O164" i="187" s="1"/>
  <c r="M165" i="187"/>
  <c r="O165" i="187" s="1"/>
  <c r="M166" i="187"/>
  <c r="O166" i="187" s="1"/>
  <c r="L152" i="187"/>
  <c r="L153" i="187"/>
  <c r="N153" i="187" s="1"/>
  <c r="L154" i="187"/>
  <c r="N154" i="187" s="1"/>
  <c r="L155" i="187"/>
  <c r="N155" i="187" s="1"/>
  <c r="L156" i="187"/>
  <c r="N156" i="187" s="1"/>
  <c r="L157" i="187"/>
  <c r="N157" i="187" s="1"/>
  <c r="L158" i="187"/>
  <c r="N158" i="187" s="1"/>
  <c r="L159" i="187"/>
  <c r="N159" i="187" s="1"/>
  <c r="L160" i="187"/>
  <c r="N160" i="187" s="1"/>
  <c r="L161" i="187"/>
  <c r="N161" i="187" s="1"/>
  <c r="L162" i="187"/>
  <c r="N162" i="187" s="1"/>
  <c r="L163" i="187"/>
  <c r="N163" i="187" s="1"/>
  <c r="L164" i="187"/>
  <c r="N164" i="187" s="1"/>
  <c r="L165" i="187"/>
  <c r="N165" i="187" s="1"/>
  <c r="L166" i="187"/>
  <c r="N166" i="187" s="1"/>
  <c r="I152" i="187"/>
  <c r="I153" i="187"/>
  <c r="I154" i="187"/>
  <c r="I155" i="187"/>
  <c r="I156" i="187"/>
  <c r="I157" i="187"/>
  <c r="I158" i="187"/>
  <c r="I159" i="187"/>
  <c r="I160" i="187"/>
  <c r="I161" i="187"/>
  <c r="I162" i="187"/>
  <c r="I163" i="187"/>
  <c r="I164" i="187"/>
  <c r="I165" i="187"/>
  <c r="I166" i="187"/>
  <c r="M133" i="187"/>
  <c r="M134" i="187"/>
  <c r="O134" i="187" s="1"/>
  <c r="M135" i="187"/>
  <c r="O135" i="187" s="1"/>
  <c r="M136" i="187"/>
  <c r="O136" i="187" s="1"/>
  <c r="M137" i="187"/>
  <c r="O137" i="187" s="1"/>
  <c r="M138" i="187"/>
  <c r="O138" i="187" s="1"/>
  <c r="M139" i="187"/>
  <c r="O139" i="187" s="1"/>
  <c r="M140" i="187"/>
  <c r="O140" i="187" s="1"/>
  <c r="M141" i="187"/>
  <c r="O141" i="187" s="1"/>
  <c r="M142" i="187"/>
  <c r="O142" i="187" s="1"/>
  <c r="M143" i="187"/>
  <c r="O143" i="187" s="1"/>
  <c r="M144" i="187"/>
  <c r="O144" i="187" s="1"/>
  <c r="M145" i="187"/>
  <c r="O145" i="187" s="1"/>
  <c r="M146" i="187"/>
  <c r="O146" i="187" s="1"/>
  <c r="M147" i="187"/>
  <c r="O147" i="187" s="1"/>
  <c r="L133" i="187"/>
  <c r="L134" i="187"/>
  <c r="N134" i="187" s="1"/>
  <c r="L135" i="187"/>
  <c r="N135" i="187" s="1"/>
  <c r="L136" i="187"/>
  <c r="N136" i="187" s="1"/>
  <c r="L137" i="187"/>
  <c r="N137" i="187" s="1"/>
  <c r="L138" i="187"/>
  <c r="N138" i="187" s="1"/>
  <c r="L139" i="187"/>
  <c r="N139" i="187" s="1"/>
  <c r="L140" i="187"/>
  <c r="N140" i="187" s="1"/>
  <c r="L141" i="187"/>
  <c r="N141" i="187" s="1"/>
  <c r="L142" i="187"/>
  <c r="N142" i="187" s="1"/>
  <c r="L143" i="187"/>
  <c r="N143" i="187" s="1"/>
  <c r="L144" i="187"/>
  <c r="N144" i="187" s="1"/>
  <c r="L145" i="187"/>
  <c r="N145" i="187" s="1"/>
  <c r="L146" i="187"/>
  <c r="N146" i="187" s="1"/>
  <c r="L147" i="187"/>
  <c r="N147" i="187" s="1"/>
  <c r="I133" i="187"/>
  <c r="I134" i="187"/>
  <c r="I135" i="187"/>
  <c r="I136" i="187"/>
  <c r="I137" i="187"/>
  <c r="I138" i="187"/>
  <c r="I139" i="187"/>
  <c r="I140" i="187"/>
  <c r="I141" i="187"/>
  <c r="I142" i="187"/>
  <c r="I143" i="187"/>
  <c r="I144" i="187"/>
  <c r="I145" i="187"/>
  <c r="I146" i="187"/>
  <c r="I147" i="187"/>
  <c r="M114" i="187"/>
  <c r="M115" i="187"/>
  <c r="O115" i="187" s="1"/>
  <c r="M116" i="187"/>
  <c r="O116" i="187" s="1"/>
  <c r="M117" i="187"/>
  <c r="O117" i="187" s="1"/>
  <c r="M118" i="187"/>
  <c r="O118" i="187" s="1"/>
  <c r="M119" i="187"/>
  <c r="O119" i="187" s="1"/>
  <c r="M120" i="187"/>
  <c r="O120" i="187" s="1"/>
  <c r="M121" i="187"/>
  <c r="O121" i="187" s="1"/>
  <c r="M122" i="187"/>
  <c r="O122" i="187" s="1"/>
  <c r="M123" i="187"/>
  <c r="O123" i="187" s="1"/>
  <c r="M124" i="187"/>
  <c r="O124" i="187" s="1"/>
  <c r="M125" i="187"/>
  <c r="O125" i="187" s="1"/>
  <c r="M126" i="187"/>
  <c r="O126" i="187" s="1"/>
  <c r="M127" i="187"/>
  <c r="O127" i="187" s="1"/>
  <c r="M128" i="187"/>
  <c r="O128" i="187" s="1"/>
  <c r="L114" i="187"/>
  <c r="L115" i="187"/>
  <c r="N115" i="187" s="1"/>
  <c r="L116" i="187"/>
  <c r="N116" i="187" s="1"/>
  <c r="L117" i="187"/>
  <c r="N117" i="187" s="1"/>
  <c r="L118" i="187"/>
  <c r="N118" i="187" s="1"/>
  <c r="L119" i="187"/>
  <c r="N119" i="187" s="1"/>
  <c r="L120" i="187"/>
  <c r="N120" i="187" s="1"/>
  <c r="L121" i="187"/>
  <c r="N121" i="187" s="1"/>
  <c r="L122" i="187"/>
  <c r="N122" i="187" s="1"/>
  <c r="L123" i="187"/>
  <c r="N123" i="187" s="1"/>
  <c r="L124" i="187"/>
  <c r="N124" i="187" s="1"/>
  <c r="L125" i="187"/>
  <c r="N125" i="187" s="1"/>
  <c r="L126" i="187"/>
  <c r="N126" i="187" s="1"/>
  <c r="L127" i="187"/>
  <c r="N127" i="187" s="1"/>
  <c r="L128" i="187"/>
  <c r="N128" i="187" s="1"/>
  <c r="K97" i="187"/>
  <c r="L97" i="187" s="1"/>
  <c r="N97" i="187" s="1"/>
  <c r="K98" i="187"/>
  <c r="L98" i="187" s="1"/>
  <c r="N98" i="187" s="1"/>
  <c r="K99" i="187"/>
  <c r="L99" i="187" s="1"/>
  <c r="N99" i="187" s="1"/>
  <c r="K100" i="187"/>
  <c r="L100" i="187" s="1"/>
  <c r="N100" i="187" s="1"/>
  <c r="K101" i="187"/>
  <c r="L101" i="187" s="1"/>
  <c r="N101" i="187" s="1"/>
  <c r="K102" i="187"/>
  <c r="L102" i="187" s="1"/>
  <c r="N102" i="187" s="1"/>
  <c r="K103" i="187"/>
  <c r="L103" i="187" s="1"/>
  <c r="N103" i="187" s="1"/>
  <c r="K104" i="187"/>
  <c r="M104" i="187" s="1"/>
  <c r="O104" i="187" s="1"/>
  <c r="K105" i="187"/>
  <c r="L105" i="187" s="1"/>
  <c r="N105" i="187" s="1"/>
  <c r="K106" i="187"/>
  <c r="L106" i="187" s="1"/>
  <c r="N106" i="187" s="1"/>
  <c r="K107" i="187"/>
  <c r="L107" i="187" s="1"/>
  <c r="N107" i="187" s="1"/>
  <c r="K108" i="187"/>
  <c r="L108" i="187" s="1"/>
  <c r="N108" i="187" s="1"/>
  <c r="K109" i="187"/>
  <c r="L109" i="187" s="1"/>
  <c r="N109" i="187" s="1"/>
  <c r="M71" i="187"/>
  <c r="O71" i="187" s="1"/>
  <c r="M72" i="187"/>
  <c r="O72" i="187" s="1"/>
  <c r="M73" i="187"/>
  <c r="O73" i="187" s="1"/>
  <c r="M74" i="187"/>
  <c r="O74" i="187" s="1"/>
  <c r="M75" i="187"/>
  <c r="O75" i="187" s="1"/>
  <c r="M76" i="187"/>
  <c r="O76" i="187" s="1"/>
  <c r="M77" i="187"/>
  <c r="O77" i="187" s="1"/>
  <c r="M78" i="187"/>
  <c r="O78" i="187" s="1"/>
  <c r="M79" i="187"/>
  <c r="O79" i="187" s="1"/>
  <c r="M80" i="187"/>
  <c r="O80" i="187" s="1"/>
  <c r="M81" i="187"/>
  <c r="O81" i="187" s="1"/>
  <c r="M82" i="187"/>
  <c r="O82" i="187" s="1"/>
  <c r="M83" i="187"/>
  <c r="O83" i="187" s="1"/>
  <c r="M84" i="187"/>
  <c r="O84" i="187" s="1"/>
  <c r="M85" i="187"/>
  <c r="O85" i="187" s="1"/>
  <c r="L71" i="187"/>
  <c r="L72" i="187"/>
  <c r="N72" i="187" s="1"/>
  <c r="L73" i="187"/>
  <c r="N73" i="187" s="1"/>
  <c r="L74" i="187"/>
  <c r="N74" i="187" s="1"/>
  <c r="L75" i="187"/>
  <c r="N75" i="187" s="1"/>
  <c r="L76" i="187"/>
  <c r="N76" i="187" s="1"/>
  <c r="L77" i="187"/>
  <c r="N77" i="187" s="1"/>
  <c r="L78" i="187"/>
  <c r="N78" i="187" s="1"/>
  <c r="L79" i="187"/>
  <c r="N79" i="187" s="1"/>
  <c r="L80" i="187"/>
  <c r="N80" i="187" s="1"/>
  <c r="L81" i="187"/>
  <c r="N81" i="187" s="1"/>
  <c r="L82" i="187"/>
  <c r="N82" i="187" s="1"/>
  <c r="L83" i="187"/>
  <c r="N83" i="187" s="1"/>
  <c r="L84" i="187"/>
  <c r="N84" i="187" s="1"/>
  <c r="L85" i="187"/>
  <c r="N85" i="187" s="1"/>
  <c r="I71" i="187"/>
  <c r="I72" i="187"/>
  <c r="I73" i="187"/>
  <c r="I74" i="187"/>
  <c r="I75" i="187"/>
  <c r="I76" i="187"/>
  <c r="I77" i="187"/>
  <c r="I78" i="187"/>
  <c r="I79" i="187"/>
  <c r="I80" i="187"/>
  <c r="I81" i="187"/>
  <c r="I82" i="187"/>
  <c r="I83" i="187"/>
  <c r="I84" i="187"/>
  <c r="I85" i="187"/>
  <c r="M52" i="187"/>
  <c r="O52" i="187" s="1"/>
  <c r="M53" i="187"/>
  <c r="O53" i="187" s="1"/>
  <c r="M54" i="187"/>
  <c r="O54" i="187" s="1"/>
  <c r="M55" i="187"/>
  <c r="O55" i="187" s="1"/>
  <c r="M56" i="187"/>
  <c r="O56" i="187" s="1"/>
  <c r="M57" i="187"/>
  <c r="O57" i="187" s="1"/>
  <c r="M58" i="187"/>
  <c r="O58" i="187" s="1"/>
  <c r="M59" i="187"/>
  <c r="O59" i="187" s="1"/>
  <c r="M60" i="187"/>
  <c r="O60" i="187" s="1"/>
  <c r="M61" i="187"/>
  <c r="O61" i="187" s="1"/>
  <c r="M62" i="187"/>
  <c r="O62" i="187" s="1"/>
  <c r="M63" i="187"/>
  <c r="O63" i="187" s="1"/>
  <c r="M64" i="187"/>
  <c r="O64" i="187" s="1"/>
  <c r="M65" i="187"/>
  <c r="O65" i="187" s="1"/>
  <c r="M66" i="187"/>
  <c r="O66" i="187" s="1"/>
  <c r="L52" i="187"/>
  <c r="L53" i="187"/>
  <c r="N53" i="187" s="1"/>
  <c r="L54" i="187"/>
  <c r="N54" i="187" s="1"/>
  <c r="L55" i="187"/>
  <c r="N55" i="187" s="1"/>
  <c r="L56" i="187"/>
  <c r="N56" i="187" s="1"/>
  <c r="L57" i="187"/>
  <c r="N57" i="187" s="1"/>
  <c r="L58" i="187"/>
  <c r="N58" i="187" s="1"/>
  <c r="L59" i="187"/>
  <c r="N59" i="187" s="1"/>
  <c r="L60" i="187"/>
  <c r="N60" i="187" s="1"/>
  <c r="L61" i="187"/>
  <c r="N61" i="187" s="1"/>
  <c r="L62" i="187"/>
  <c r="N62" i="187" s="1"/>
  <c r="L63" i="187"/>
  <c r="N63" i="187" s="1"/>
  <c r="L64" i="187"/>
  <c r="N64" i="187" s="1"/>
  <c r="L65" i="187"/>
  <c r="N65" i="187" s="1"/>
  <c r="L66" i="187"/>
  <c r="N66" i="187" s="1"/>
  <c r="I52" i="187"/>
  <c r="I53" i="187"/>
  <c r="I54" i="187"/>
  <c r="I55" i="187"/>
  <c r="I56" i="187"/>
  <c r="I57" i="187"/>
  <c r="I58" i="187"/>
  <c r="I59" i="187"/>
  <c r="I60" i="187"/>
  <c r="I61" i="187"/>
  <c r="I62" i="187"/>
  <c r="I63" i="187"/>
  <c r="I64" i="187"/>
  <c r="I65" i="187"/>
  <c r="I66" i="187"/>
  <c r="M33" i="187"/>
  <c r="M34" i="187"/>
  <c r="O34" i="187" s="1"/>
  <c r="M35" i="187"/>
  <c r="O35" i="187" s="1"/>
  <c r="M36" i="187"/>
  <c r="O36" i="187" s="1"/>
  <c r="M37" i="187"/>
  <c r="O37" i="187" s="1"/>
  <c r="M38" i="187"/>
  <c r="O38" i="187" s="1"/>
  <c r="M39" i="187"/>
  <c r="O39" i="187" s="1"/>
  <c r="M40" i="187"/>
  <c r="O40" i="187" s="1"/>
  <c r="M41" i="187"/>
  <c r="O41" i="187" s="1"/>
  <c r="M42" i="187"/>
  <c r="O42" i="187" s="1"/>
  <c r="M43" i="187"/>
  <c r="O43" i="187" s="1"/>
  <c r="M44" i="187"/>
  <c r="O44" i="187" s="1"/>
  <c r="M45" i="187"/>
  <c r="O45" i="187" s="1"/>
  <c r="M46" i="187"/>
  <c r="O46" i="187" s="1"/>
  <c r="M47" i="187"/>
  <c r="O47" i="187" s="1"/>
  <c r="L33" i="187"/>
  <c r="L34" i="187"/>
  <c r="N34" i="187" s="1"/>
  <c r="L35" i="187"/>
  <c r="N35" i="187" s="1"/>
  <c r="L36" i="187"/>
  <c r="N36" i="187" s="1"/>
  <c r="L37" i="187"/>
  <c r="N37" i="187" s="1"/>
  <c r="L38" i="187"/>
  <c r="N38" i="187" s="1"/>
  <c r="L39" i="187"/>
  <c r="N39" i="187" s="1"/>
  <c r="L40" i="187"/>
  <c r="N40" i="187" s="1"/>
  <c r="L41" i="187"/>
  <c r="N41" i="187" s="1"/>
  <c r="L42" i="187"/>
  <c r="N42" i="187" s="1"/>
  <c r="L43" i="187"/>
  <c r="N43" i="187" s="1"/>
  <c r="L44" i="187"/>
  <c r="N44" i="187" s="1"/>
  <c r="L45" i="187"/>
  <c r="N45" i="187" s="1"/>
  <c r="L46" i="187"/>
  <c r="N46" i="187" s="1"/>
  <c r="L47" i="187"/>
  <c r="N47" i="187" s="1"/>
  <c r="K21" i="187"/>
  <c r="L21" i="187" s="1"/>
  <c r="N21" i="187" s="1"/>
  <c r="K22" i="187"/>
  <c r="M22" i="187" s="1"/>
  <c r="O22" i="187" s="1"/>
  <c r="K23" i="187"/>
  <c r="L23" i="187" s="1"/>
  <c r="N23" i="187" s="1"/>
  <c r="K24" i="187"/>
  <c r="M24" i="187" s="1"/>
  <c r="O24" i="187" s="1"/>
  <c r="K25" i="187"/>
  <c r="L25" i="187" s="1"/>
  <c r="N25" i="187" s="1"/>
  <c r="K26" i="187"/>
  <c r="L26" i="187" s="1"/>
  <c r="N26" i="187" s="1"/>
  <c r="K27" i="187"/>
  <c r="L27" i="187" s="1"/>
  <c r="N27" i="187" s="1"/>
  <c r="K28" i="187"/>
  <c r="L28" i="187" s="1"/>
  <c r="N28" i="187" s="1"/>
  <c r="K13" i="184"/>
  <c r="L13" i="184" s="1"/>
  <c r="K14" i="184"/>
  <c r="M14" i="184" s="1"/>
  <c r="K15" i="184"/>
  <c r="M15" i="184" s="1"/>
  <c r="K16" i="184"/>
  <c r="L16" i="184" s="1"/>
  <c r="K17" i="184"/>
  <c r="M17" i="184" s="1"/>
  <c r="K18" i="184"/>
  <c r="M18" i="184" s="1"/>
  <c r="K19" i="184"/>
  <c r="M19" i="184" s="1"/>
  <c r="K20" i="184"/>
  <c r="M20" i="184" s="1"/>
  <c r="K21" i="184"/>
  <c r="L21" i="184" s="1"/>
  <c r="K22" i="184"/>
  <c r="M22" i="184" s="1"/>
  <c r="K23" i="184"/>
  <c r="M23" i="184" s="1"/>
  <c r="K24" i="184"/>
  <c r="M24" i="184" s="1"/>
  <c r="K25" i="184"/>
  <c r="M25" i="184" s="1"/>
  <c r="K26" i="184"/>
  <c r="M26" i="184" s="1"/>
  <c r="K27" i="184"/>
  <c r="M27" i="184" s="1"/>
  <c r="M245" i="182"/>
  <c r="O245" i="182" s="1"/>
  <c r="M246" i="182"/>
  <c r="O246" i="182" s="1"/>
  <c r="M247" i="182"/>
  <c r="O247" i="182" s="1"/>
  <c r="M248" i="182"/>
  <c r="O248" i="182" s="1"/>
  <c r="M249" i="182"/>
  <c r="O249" i="182" s="1"/>
  <c r="M250" i="182"/>
  <c r="O250" i="182" s="1"/>
  <c r="M251" i="182"/>
  <c r="O251" i="182" s="1"/>
  <c r="M252" i="182"/>
  <c r="O252" i="182" s="1"/>
  <c r="M253" i="182"/>
  <c r="O253" i="182" s="1"/>
  <c r="M254" i="182"/>
  <c r="O254" i="182" s="1"/>
  <c r="M255" i="182"/>
  <c r="O255" i="182" s="1"/>
  <c r="M256" i="182"/>
  <c r="O256" i="182" s="1"/>
  <c r="M257" i="182"/>
  <c r="O257" i="182" s="1"/>
  <c r="M258" i="182"/>
  <c r="O258" i="182" s="1"/>
  <c r="M259" i="182"/>
  <c r="O259" i="182" s="1"/>
  <c r="L245" i="182"/>
  <c r="N245" i="182" s="1"/>
  <c r="L246" i="182"/>
  <c r="N246" i="182" s="1"/>
  <c r="L247" i="182"/>
  <c r="N247" i="182" s="1"/>
  <c r="L248" i="182"/>
  <c r="N248" i="182" s="1"/>
  <c r="L249" i="182"/>
  <c r="N249" i="182" s="1"/>
  <c r="L250" i="182"/>
  <c r="N250" i="182" s="1"/>
  <c r="L251" i="182"/>
  <c r="N251" i="182" s="1"/>
  <c r="L252" i="182"/>
  <c r="N252" i="182" s="1"/>
  <c r="L253" i="182"/>
  <c r="N253" i="182" s="1"/>
  <c r="L254" i="182"/>
  <c r="N254" i="182" s="1"/>
  <c r="L255" i="182"/>
  <c r="N255" i="182" s="1"/>
  <c r="L256" i="182"/>
  <c r="N256" i="182" s="1"/>
  <c r="L257" i="182"/>
  <c r="N257" i="182" s="1"/>
  <c r="L258" i="182"/>
  <c r="N258" i="182" s="1"/>
  <c r="L259" i="182"/>
  <c r="N259" i="182" s="1"/>
  <c r="I245" i="182"/>
  <c r="I246" i="182"/>
  <c r="I247" i="182"/>
  <c r="I248" i="182"/>
  <c r="I249" i="182"/>
  <c r="I250" i="182"/>
  <c r="I251" i="182"/>
  <c r="I252" i="182"/>
  <c r="I253" i="182"/>
  <c r="I254" i="182"/>
  <c r="I255" i="182"/>
  <c r="I256" i="182"/>
  <c r="I257" i="182"/>
  <c r="I258" i="182"/>
  <c r="I259" i="182"/>
  <c r="M226" i="182"/>
  <c r="O226" i="182" s="1"/>
  <c r="M227" i="182"/>
  <c r="O227" i="182" s="1"/>
  <c r="M228" i="182"/>
  <c r="O228" i="182" s="1"/>
  <c r="M229" i="182"/>
  <c r="O229" i="182" s="1"/>
  <c r="M230" i="182"/>
  <c r="O230" i="182" s="1"/>
  <c r="M231" i="182"/>
  <c r="O231" i="182" s="1"/>
  <c r="M232" i="182"/>
  <c r="O232" i="182" s="1"/>
  <c r="M233" i="182"/>
  <c r="O233" i="182" s="1"/>
  <c r="M234" i="182"/>
  <c r="O234" i="182" s="1"/>
  <c r="M235" i="182"/>
  <c r="O235" i="182" s="1"/>
  <c r="M236" i="182"/>
  <c r="O236" i="182" s="1"/>
  <c r="M237" i="182"/>
  <c r="O237" i="182" s="1"/>
  <c r="M238" i="182"/>
  <c r="O238" i="182" s="1"/>
  <c r="M239" i="182"/>
  <c r="O239" i="182" s="1"/>
  <c r="M240" i="182"/>
  <c r="O240" i="182" s="1"/>
  <c r="L226" i="182"/>
  <c r="L227" i="182"/>
  <c r="N227" i="182" s="1"/>
  <c r="L228" i="182"/>
  <c r="N228" i="182" s="1"/>
  <c r="L229" i="182"/>
  <c r="N229" i="182" s="1"/>
  <c r="L230" i="182"/>
  <c r="N230" i="182" s="1"/>
  <c r="L231" i="182"/>
  <c r="N231" i="182" s="1"/>
  <c r="L232" i="182"/>
  <c r="N232" i="182" s="1"/>
  <c r="L233" i="182"/>
  <c r="N233" i="182" s="1"/>
  <c r="L234" i="182"/>
  <c r="N234" i="182" s="1"/>
  <c r="L235" i="182"/>
  <c r="N235" i="182" s="1"/>
  <c r="L236" i="182"/>
  <c r="N236" i="182" s="1"/>
  <c r="L237" i="182"/>
  <c r="N237" i="182" s="1"/>
  <c r="L238" i="182"/>
  <c r="N238" i="182" s="1"/>
  <c r="L239" i="182"/>
  <c r="N239" i="182" s="1"/>
  <c r="L240" i="182"/>
  <c r="N240" i="182" s="1"/>
  <c r="I226" i="182"/>
  <c r="I227" i="182"/>
  <c r="I228" i="182"/>
  <c r="I229" i="182"/>
  <c r="I230" i="182"/>
  <c r="I231" i="182"/>
  <c r="I232" i="182"/>
  <c r="I233" i="182"/>
  <c r="I234" i="182"/>
  <c r="I235" i="182"/>
  <c r="I236" i="182"/>
  <c r="I237" i="182"/>
  <c r="I238" i="182"/>
  <c r="I239" i="182"/>
  <c r="I240" i="182"/>
  <c r="M207" i="182"/>
  <c r="M208" i="182"/>
  <c r="O208" i="182" s="1"/>
  <c r="M209" i="182"/>
  <c r="O209" i="182" s="1"/>
  <c r="M210" i="182"/>
  <c r="O210" i="182" s="1"/>
  <c r="M211" i="182"/>
  <c r="O211" i="182" s="1"/>
  <c r="M212" i="182"/>
  <c r="O212" i="182" s="1"/>
  <c r="M213" i="182"/>
  <c r="O213" i="182" s="1"/>
  <c r="M214" i="182"/>
  <c r="O214" i="182" s="1"/>
  <c r="M215" i="182"/>
  <c r="O215" i="182" s="1"/>
  <c r="M216" i="182"/>
  <c r="O216" i="182" s="1"/>
  <c r="M217" i="182"/>
  <c r="O217" i="182" s="1"/>
  <c r="M218" i="182"/>
  <c r="O218" i="182" s="1"/>
  <c r="M219" i="182"/>
  <c r="O219" i="182" s="1"/>
  <c r="M220" i="182"/>
  <c r="O220" i="182" s="1"/>
  <c r="M221" i="182"/>
  <c r="O221" i="182" s="1"/>
  <c r="L207" i="182"/>
  <c r="N207" i="182" s="1"/>
  <c r="L208" i="182"/>
  <c r="N208" i="182" s="1"/>
  <c r="L209" i="182"/>
  <c r="N209" i="182" s="1"/>
  <c r="L210" i="182"/>
  <c r="N210" i="182" s="1"/>
  <c r="L211" i="182"/>
  <c r="N211" i="182" s="1"/>
  <c r="L212" i="182"/>
  <c r="N212" i="182" s="1"/>
  <c r="L213" i="182"/>
  <c r="N213" i="182" s="1"/>
  <c r="L214" i="182"/>
  <c r="N214" i="182" s="1"/>
  <c r="L215" i="182"/>
  <c r="N215" i="182" s="1"/>
  <c r="L216" i="182"/>
  <c r="N216" i="182" s="1"/>
  <c r="L217" i="182"/>
  <c r="N217" i="182" s="1"/>
  <c r="L218" i="182"/>
  <c r="N218" i="182" s="1"/>
  <c r="L219" i="182"/>
  <c r="N219" i="182" s="1"/>
  <c r="L220" i="182"/>
  <c r="N220" i="182" s="1"/>
  <c r="L221" i="182"/>
  <c r="N221" i="182" s="1"/>
  <c r="K190" i="182"/>
  <c r="M190" i="182" s="1"/>
  <c r="O190" i="182" s="1"/>
  <c r="K191" i="182"/>
  <c r="L191" i="182" s="1"/>
  <c r="N191" i="182" s="1"/>
  <c r="K192" i="182"/>
  <c r="M192" i="182" s="1"/>
  <c r="O192" i="182" s="1"/>
  <c r="K193" i="182"/>
  <c r="M193" i="182" s="1"/>
  <c r="O193" i="182" s="1"/>
  <c r="K194" i="182"/>
  <c r="M194" i="182" s="1"/>
  <c r="O194" i="182" s="1"/>
  <c r="K195" i="182"/>
  <c r="L195" i="182" s="1"/>
  <c r="N195" i="182" s="1"/>
  <c r="K196" i="182"/>
  <c r="M196" i="182" s="1"/>
  <c r="O196" i="182" s="1"/>
  <c r="K197" i="182"/>
  <c r="L197" i="182" s="1"/>
  <c r="N197" i="182" s="1"/>
  <c r="K198" i="182"/>
  <c r="M198" i="182" s="1"/>
  <c r="O198" i="182" s="1"/>
  <c r="K199" i="182"/>
  <c r="M199" i="182" s="1"/>
  <c r="O199" i="182" s="1"/>
  <c r="K200" i="182"/>
  <c r="M200" i="182" s="1"/>
  <c r="O200" i="182" s="1"/>
  <c r="K201" i="182"/>
  <c r="L201" i="182" s="1"/>
  <c r="N201" i="182" s="1"/>
  <c r="K202" i="182"/>
  <c r="M202" i="182" s="1"/>
  <c r="O202" i="182" s="1"/>
  <c r="M160" i="182"/>
  <c r="M161" i="182"/>
  <c r="M162" i="182"/>
  <c r="M163" i="182"/>
  <c r="M164" i="182"/>
  <c r="M165" i="182"/>
  <c r="M166" i="182"/>
  <c r="M167" i="182"/>
  <c r="M168" i="182"/>
  <c r="M169" i="182"/>
  <c r="M170" i="182"/>
  <c r="M171" i="182"/>
  <c r="M172" i="182"/>
  <c r="M173" i="182"/>
  <c r="M174" i="182"/>
  <c r="L160" i="182"/>
  <c r="L161" i="182"/>
  <c r="L162" i="182"/>
  <c r="L163" i="182"/>
  <c r="L164" i="182"/>
  <c r="L165" i="182"/>
  <c r="L166" i="182"/>
  <c r="L167" i="182"/>
  <c r="L168" i="182"/>
  <c r="L169" i="182"/>
  <c r="L170" i="182"/>
  <c r="L171" i="182"/>
  <c r="L172" i="182"/>
  <c r="L173" i="182"/>
  <c r="L174" i="182"/>
  <c r="I160" i="182"/>
  <c r="I161" i="182"/>
  <c r="I162" i="182"/>
  <c r="I163" i="182"/>
  <c r="I164" i="182"/>
  <c r="I165" i="182"/>
  <c r="I166" i="182"/>
  <c r="I167" i="182"/>
  <c r="I168" i="182"/>
  <c r="I169" i="182"/>
  <c r="I170" i="182"/>
  <c r="I171" i="182"/>
  <c r="I172" i="182"/>
  <c r="I173" i="182"/>
  <c r="I174" i="182"/>
  <c r="M141" i="182"/>
  <c r="M142" i="182"/>
  <c r="O142" i="182" s="1"/>
  <c r="M143" i="182"/>
  <c r="O143" i="182" s="1"/>
  <c r="M144" i="182"/>
  <c r="O144" i="182" s="1"/>
  <c r="M145" i="182"/>
  <c r="O145" i="182" s="1"/>
  <c r="M146" i="182"/>
  <c r="O146" i="182" s="1"/>
  <c r="M147" i="182"/>
  <c r="O147" i="182" s="1"/>
  <c r="M148" i="182"/>
  <c r="O148" i="182" s="1"/>
  <c r="M149" i="182"/>
  <c r="O149" i="182" s="1"/>
  <c r="M150" i="182"/>
  <c r="O150" i="182" s="1"/>
  <c r="M151" i="182"/>
  <c r="O151" i="182" s="1"/>
  <c r="M152" i="182"/>
  <c r="O152" i="182" s="1"/>
  <c r="M153" i="182"/>
  <c r="O153" i="182" s="1"/>
  <c r="M154" i="182"/>
  <c r="O154" i="182" s="1"/>
  <c r="M155" i="182"/>
  <c r="O155" i="182" s="1"/>
  <c r="L141" i="182"/>
  <c r="N141" i="182" s="1"/>
  <c r="L142" i="182"/>
  <c r="N142" i="182" s="1"/>
  <c r="L143" i="182"/>
  <c r="N143" i="182" s="1"/>
  <c r="L144" i="182"/>
  <c r="N144" i="182" s="1"/>
  <c r="L145" i="182"/>
  <c r="N145" i="182" s="1"/>
  <c r="L146" i="182"/>
  <c r="N146" i="182" s="1"/>
  <c r="L147" i="182"/>
  <c r="N147" i="182" s="1"/>
  <c r="L148" i="182"/>
  <c r="N148" i="182" s="1"/>
  <c r="L149" i="182"/>
  <c r="N149" i="182" s="1"/>
  <c r="L150" i="182"/>
  <c r="N150" i="182" s="1"/>
  <c r="L151" i="182"/>
  <c r="N151" i="182" s="1"/>
  <c r="L152" i="182"/>
  <c r="N152" i="182" s="1"/>
  <c r="L153" i="182"/>
  <c r="N153" i="182" s="1"/>
  <c r="L154" i="182"/>
  <c r="N154" i="182" s="1"/>
  <c r="L155" i="182"/>
  <c r="N155" i="182" s="1"/>
  <c r="I141" i="182"/>
  <c r="I142" i="182"/>
  <c r="I143" i="182"/>
  <c r="I144" i="182"/>
  <c r="I145" i="182"/>
  <c r="I146" i="182"/>
  <c r="I147" i="182"/>
  <c r="I148" i="182"/>
  <c r="I149" i="182"/>
  <c r="I150" i="182"/>
  <c r="I151" i="182"/>
  <c r="I152" i="182"/>
  <c r="I153" i="182"/>
  <c r="I154" i="182"/>
  <c r="I155" i="182"/>
  <c r="M122" i="182"/>
  <c r="O122" i="182" s="1"/>
  <c r="M123" i="182"/>
  <c r="O123" i="182" s="1"/>
  <c r="M124" i="182"/>
  <c r="O124" i="182" s="1"/>
  <c r="M125" i="182"/>
  <c r="O125" i="182" s="1"/>
  <c r="M126" i="182"/>
  <c r="O126" i="182" s="1"/>
  <c r="M127" i="182"/>
  <c r="O127" i="182" s="1"/>
  <c r="M128" i="182"/>
  <c r="O128" i="182" s="1"/>
  <c r="M129" i="182"/>
  <c r="O129" i="182" s="1"/>
  <c r="M130" i="182"/>
  <c r="O130" i="182" s="1"/>
  <c r="M131" i="182"/>
  <c r="O131" i="182" s="1"/>
  <c r="M132" i="182"/>
  <c r="O132" i="182" s="1"/>
  <c r="M133" i="182"/>
  <c r="O133" i="182" s="1"/>
  <c r="M134" i="182"/>
  <c r="O134" i="182" s="1"/>
  <c r="M135" i="182"/>
  <c r="O135" i="182" s="1"/>
  <c r="M136" i="182"/>
  <c r="O136" i="182" s="1"/>
  <c r="L122" i="182"/>
  <c r="L123" i="182"/>
  <c r="N123" i="182" s="1"/>
  <c r="L124" i="182"/>
  <c r="N124" i="182" s="1"/>
  <c r="L125" i="182"/>
  <c r="N125" i="182" s="1"/>
  <c r="L126" i="182"/>
  <c r="N126" i="182" s="1"/>
  <c r="L127" i="182"/>
  <c r="N127" i="182" s="1"/>
  <c r="L128" i="182"/>
  <c r="N128" i="182" s="1"/>
  <c r="L129" i="182"/>
  <c r="N129" i="182" s="1"/>
  <c r="L130" i="182"/>
  <c r="N130" i="182" s="1"/>
  <c r="L131" i="182"/>
  <c r="N131" i="182" s="1"/>
  <c r="L132" i="182"/>
  <c r="N132" i="182" s="1"/>
  <c r="L133" i="182"/>
  <c r="N133" i="182" s="1"/>
  <c r="L134" i="182"/>
  <c r="N134" i="182" s="1"/>
  <c r="L135" i="182"/>
  <c r="N135" i="182" s="1"/>
  <c r="L136" i="182"/>
  <c r="N136" i="182" s="1"/>
  <c r="K103" i="182"/>
  <c r="L103" i="182" s="1"/>
  <c r="N103" i="182" s="1"/>
  <c r="K106" i="182"/>
  <c r="L106" i="182" s="1"/>
  <c r="N106" i="182" s="1"/>
  <c r="K107" i="182"/>
  <c r="M107" i="182" s="1"/>
  <c r="O107" i="182" s="1"/>
  <c r="K108" i="182"/>
  <c r="M108" i="182" s="1"/>
  <c r="O108" i="182" s="1"/>
  <c r="K109" i="182"/>
  <c r="M109" i="182" s="1"/>
  <c r="O109" i="182" s="1"/>
  <c r="K110" i="182"/>
  <c r="M110" i="182" s="1"/>
  <c r="O110" i="182" s="1"/>
  <c r="K111" i="182"/>
  <c r="L111" i="182" s="1"/>
  <c r="N111" i="182" s="1"/>
  <c r="K112" i="182"/>
  <c r="M112" i="182" s="1"/>
  <c r="O112" i="182" s="1"/>
  <c r="K113" i="182"/>
  <c r="M113" i="182" s="1"/>
  <c r="O113" i="182" s="1"/>
  <c r="K114" i="182"/>
  <c r="L114" i="182" s="1"/>
  <c r="N114" i="182" s="1"/>
  <c r="K115" i="182"/>
  <c r="M115" i="182" s="1"/>
  <c r="O115" i="182" s="1"/>
  <c r="K116" i="182"/>
  <c r="M116" i="182" s="1"/>
  <c r="O116" i="182" s="1"/>
  <c r="K117" i="182"/>
  <c r="M117" i="182" s="1"/>
  <c r="O117" i="182" s="1"/>
  <c r="M75" i="182"/>
  <c r="M76" i="182"/>
  <c r="O76" i="182" s="1"/>
  <c r="M77" i="182"/>
  <c r="O77" i="182" s="1"/>
  <c r="M78" i="182"/>
  <c r="O78" i="182" s="1"/>
  <c r="M79" i="182"/>
  <c r="O79" i="182" s="1"/>
  <c r="M80" i="182"/>
  <c r="O80" i="182" s="1"/>
  <c r="M81" i="182"/>
  <c r="O81" i="182" s="1"/>
  <c r="M82" i="182"/>
  <c r="O82" i="182" s="1"/>
  <c r="M83" i="182"/>
  <c r="O83" i="182" s="1"/>
  <c r="M84" i="182"/>
  <c r="O84" i="182" s="1"/>
  <c r="M85" i="182"/>
  <c r="O85" i="182" s="1"/>
  <c r="M86" i="182"/>
  <c r="O86" i="182" s="1"/>
  <c r="M87" i="182"/>
  <c r="O87" i="182" s="1"/>
  <c r="M88" i="182"/>
  <c r="O88" i="182" s="1"/>
  <c r="M89" i="182"/>
  <c r="O89" i="182" s="1"/>
  <c r="L75" i="182"/>
  <c r="N75" i="182" s="1"/>
  <c r="L76" i="182"/>
  <c r="N76" i="182" s="1"/>
  <c r="L77" i="182"/>
  <c r="N77" i="182" s="1"/>
  <c r="L78" i="182"/>
  <c r="N78" i="182" s="1"/>
  <c r="L79" i="182"/>
  <c r="N79" i="182" s="1"/>
  <c r="L80" i="182"/>
  <c r="N80" i="182" s="1"/>
  <c r="L81" i="182"/>
  <c r="N81" i="182" s="1"/>
  <c r="L82" i="182"/>
  <c r="N82" i="182" s="1"/>
  <c r="L83" i="182"/>
  <c r="N83" i="182" s="1"/>
  <c r="L84" i="182"/>
  <c r="N84" i="182" s="1"/>
  <c r="L85" i="182"/>
  <c r="N85" i="182" s="1"/>
  <c r="L86" i="182"/>
  <c r="N86" i="182" s="1"/>
  <c r="L87" i="182"/>
  <c r="N87" i="182" s="1"/>
  <c r="L88" i="182"/>
  <c r="N88" i="182" s="1"/>
  <c r="L89" i="182"/>
  <c r="N89" i="182" s="1"/>
  <c r="I75" i="182"/>
  <c r="I76" i="182"/>
  <c r="I77" i="182"/>
  <c r="I78" i="182"/>
  <c r="I79" i="182"/>
  <c r="I80" i="182"/>
  <c r="I81" i="182"/>
  <c r="I82" i="182"/>
  <c r="I83" i="182"/>
  <c r="I84" i="182"/>
  <c r="I85" i="182"/>
  <c r="I86" i="182"/>
  <c r="I87" i="182"/>
  <c r="I88" i="182"/>
  <c r="I89" i="182"/>
  <c r="M56" i="182"/>
  <c r="O56" i="182" s="1"/>
  <c r="M57" i="182"/>
  <c r="M58" i="182"/>
  <c r="O58" i="182" s="1"/>
  <c r="M59" i="182"/>
  <c r="O59" i="182" s="1"/>
  <c r="M60" i="182"/>
  <c r="O60" i="182" s="1"/>
  <c r="M61" i="182"/>
  <c r="O61" i="182" s="1"/>
  <c r="M62" i="182"/>
  <c r="O62" i="182" s="1"/>
  <c r="M63" i="182"/>
  <c r="O63" i="182" s="1"/>
  <c r="M64" i="182"/>
  <c r="O64" i="182" s="1"/>
  <c r="M65" i="182"/>
  <c r="O65" i="182" s="1"/>
  <c r="M66" i="182"/>
  <c r="O66" i="182" s="1"/>
  <c r="M67" i="182"/>
  <c r="O67" i="182" s="1"/>
  <c r="M68" i="182"/>
  <c r="O68" i="182" s="1"/>
  <c r="M69" i="182"/>
  <c r="O69" i="182" s="1"/>
  <c r="M70" i="182"/>
  <c r="O70" i="182" s="1"/>
  <c r="L56" i="182"/>
  <c r="L57" i="182"/>
  <c r="N57" i="182" s="1"/>
  <c r="L58" i="182"/>
  <c r="N58" i="182" s="1"/>
  <c r="L59" i="182"/>
  <c r="N59" i="182" s="1"/>
  <c r="L60" i="182"/>
  <c r="N60" i="182" s="1"/>
  <c r="L61" i="182"/>
  <c r="N61" i="182" s="1"/>
  <c r="L62" i="182"/>
  <c r="N62" i="182" s="1"/>
  <c r="L63" i="182"/>
  <c r="N63" i="182" s="1"/>
  <c r="L64" i="182"/>
  <c r="N64" i="182" s="1"/>
  <c r="L65" i="182"/>
  <c r="N65" i="182" s="1"/>
  <c r="L66" i="182"/>
  <c r="N66" i="182" s="1"/>
  <c r="L67" i="182"/>
  <c r="N67" i="182" s="1"/>
  <c r="L68" i="182"/>
  <c r="N68" i="182" s="1"/>
  <c r="L69" i="182"/>
  <c r="N69" i="182" s="1"/>
  <c r="L70" i="182"/>
  <c r="N70" i="182" s="1"/>
  <c r="I56" i="182"/>
  <c r="I57" i="182"/>
  <c r="I58" i="182"/>
  <c r="I59" i="182"/>
  <c r="I60" i="182"/>
  <c r="I61" i="182"/>
  <c r="I62" i="182"/>
  <c r="I63" i="182"/>
  <c r="I64" i="182"/>
  <c r="I65" i="182"/>
  <c r="I66" i="182"/>
  <c r="I67" i="182"/>
  <c r="I68" i="182"/>
  <c r="I69" i="182"/>
  <c r="I70" i="182"/>
  <c r="M37" i="182"/>
  <c r="O37" i="182" s="1"/>
  <c r="M38" i="182"/>
  <c r="O38" i="182" s="1"/>
  <c r="M39" i="182"/>
  <c r="O39" i="182" s="1"/>
  <c r="M40" i="182"/>
  <c r="O40" i="182" s="1"/>
  <c r="M41" i="182"/>
  <c r="O41" i="182" s="1"/>
  <c r="M42" i="182"/>
  <c r="O42" i="182" s="1"/>
  <c r="M43" i="182"/>
  <c r="O43" i="182" s="1"/>
  <c r="M44" i="182"/>
  <c r="O44" i="182" s="1"/>
  <c r="M45" i="182"/>
  <c r="O45" i="182" s="1"/>
  <c r="M46" i="182"/>
  <c r="O46" i="182" s="1"/>
  <c r="M47" i="182"/>
  <c r="O47" i="182" s="1"/>
  <c r="M48" i="182"/>
  <c r="O48" i="182" s="1"/>
  <c r="M49" i="182"/>
  <c r="O49" i="182" s="1"/>
  <c r="M50" i="182"/>
  <c r="O50" i="182" s="1"/>
  <c r="M51" i="182"/>
  <c r="O51" i="182" s="1"/>
  <c r="L37" i="182"/>
  <c r="N37" i="182" s="1"/>
  <c r="L38" i="182"/>
  <c r="N38" i="182" s="1"/>
  <c r="L39" i="182"/>
  <c r="N39" i="182" s="1"/>
  <c r="L40" i="182"/>
  <c r="N40" i="182" s="1"/>
  <c r="L41" i="182"/>
  <c r="N41" i="182" s="1"/>
  <c r="L42" i="182"/>
  <c r="N42" i="182" s="1"/>
  <c r="L43" i="182"/>
  <c r="N43" i="182" s="1"/>
  <c r="L44" i="182"/>
  <c r="N44" i="182" s="1"/>
  <c r="L45" i="182"/>
  <c r="N45" i="182" s="1"/>
  <c r="L46" i="182"/>
  <c r="N46" i="182" s="1"/>
  <c r="L47" i="182"/>
  <c r="N47" i="182" s="1"/>
  <c r="L48" i="182"/>
  <c r="N48" i="182" s="1"/>
  <c r="L49" i="182"/>
  <c r="N49" i="182" s="1"/>
  <c r="L50" i="182"/>
  <c r="N50" i="182" s="1"/>
  <c r="L51" i="182"/>
  <c r="N51" i="182" s="1"/>
  <c r="K32" i="182"/>
  <c r="M32" i="182" s="1"/>
  <c r="O32" i="182" s="1"/>
  <c r="K18" i="182"/>
  <c r="L18" i="182" s="1"/>
  <c r="K16" i="188"/>
  <c r="L16" i="188" s="1"/>
  <c r="K17" i="188"/>
  <c r="M17" i="188" s="1"/>
  <c r="K18" i="188"/>
  <c r="L18" i="188" s="1"/>
  <c r="K19" i="188"/>
  <c r="M19" i="188" s="1"/>
  <c r="K20" i="188"/>
  <c r="M20" i="188" s="1"/>
  <c r="K21" i="188"/>
  <c r="L21" i="188" s="1"/>
  <c r="K22" i="188"/>
  <c r="M22" i="188" s="1"/>
  <c r="K23" i="188"/>
  <c r="M23" i="188" s="1"/>
  <c r="K24" i="188"/>
  <c r="L24" i="188" s="1"/>
  <c r="K25" i="188"/>
  <c r="M25" i="188" s="1"/>
  <c r="K26" i="188"/>
  <c r="L26" i="188" s="1"/>
  <c r="K27" i="188"/>
  <c r="M27" i="188" s="1"/>
  <c r="K28" i="188"/>
  <c r="L28" i="188" s="1"/>
  <c r="K29" i="188"/>
  <c r="L29" i="188" s="1"/>
  <c r="K30" i="188"/>
  <c r="L30" i="188" s="1"/>
  <c r="K15" i="195"/>
  <c r="M15" i="195" s="1"/>
  <c r="K16" i="195"/>
  <c r="L16" i="195" s="1"/>
  <c r="K17" i="195"/>
  <c r="L17" i="195" s="1"/>
  <c r="K18" i="195"/>
  <c r="L18" i="195" s="1"/>
  <c r="K19" i="195"/>
  <c r="M19" i="195" s="1"/>
  <c r="K20" i="195"/>
  <c r="L20" i="195" s="1"/>
  <c r="K21" i="195"/>
  <c r="M21" i="195" s="1"/>
  <c r="K22" i="195"/>
  <c r="L22" i="195" s="1"/>
  <c r="K23" i="195"/>
  <c r="M23" i="195" s="1"/>
  <c r="K24" i="195"/>
  <c r="L24" i="195" s="1"/>
  <c r="K25" i="195"/>
  <c r="L25" i="195" s="1"/>
  <c r="K26" i="195"/>
  <c r="M26" i="195" s="1"/>
  <c r="K27" i="195"/>
  <c r="M27" i="195" s="1"/>
  <c r="K28" i="195"/>
  <c r="M28" i="195" s="1"/>
  <c r="K29" i="195"/>
  <c r="M29" i="195" s="1"/>
  <c r="M239" i="202"/>
  <c r="O239" i="202" s="1"/>
  <c r="M240" i="202"/>
  <c r="M241" i="202"/>
  <c r="O241" i="202" s="1"/>
  <c r="M242" i="202"/>
  <c r="O242" i="202" s="1"/>
  <c r="M243" i="202"/>
  <c r="O243" i="202" s="1"/>
  <c r="M244" i="202"/>
  <c r="O244" i="202" s="1"/>
  <c r="M245" i="202"/>
  <c r="O245" i="202" s="1"/>
  <c r="M246" i="202"/>
  <c r="O246" i="202" s="1"/>
  <c r="M247" i="202"/>
  <c r="O247" i="202" s="1"/>
  <c r="M248" i="202"/>
  <c r="O248" i="202" s="1"/>
  <c r="M249" i="202"/>
  <c r="O249" i="202" s="1"/>
  <c r="M250" i="202"/>
  <c r="O250" i="202" s="1"/>
  <c r="M251" i="202"/>
  <c r="O251" i="202" s="1"/>
  <c r="M252" i="202"/>
  <c r="O252" i="202" s="1"/>
  <c r="M253" i="202"/>
  <c r="O253" i="202" s="1"/>
  <c r="L239" i="202"/>
  <c r="L240" i="202"/>
  <c r="N240" i="202" s="1"/>
  <c r="L241" i="202"/>
  <c r="N241" i="202" s="1"/>
  <c r="L242" i="202"/>
  <c r="N242" i="202" s="1"/>
  <c r="L243" i="202"/>
  <c r="N243" i="202" s="1"/>
  <c r="L244" i="202"/>
  <c r="N244" i="202" s="1"/>
  <c r="L245" i="202"/>
  <c r="N245" i="202" s="1"/>
  <c r="L246" i="202"/>
  <c r="N246" i="202" s="1"/>
  <c r="L247" i="202"/>
  <c r="N247" i="202" s="1"/>
  <c r="L248" i="202"/>
  <c r="N248" i="202" s="1"/>
  <c r="L249" i="202"/>
  <c r="N249" i="202" s="1"/>
  <c r="L250" i="202"/>
  <c r="N250" i="202" s="1"/>
  <c r="L251" i="202"/>
  <c r="N251" i="202" s="1"/>
  <c r="L252" i="202"/>
  <c r="N252" i="202" s="1"/>
  <c r="L253" i="202"/>
  <c r="N253" i="202" s="1"/>
  <c r="I239" i="202"/>
  <c r="I240" i="202"/>
  <c r="I241" i="202"/>
  <c r="I242" i="202"/>
  <c r="I243" i="202"/>
  <c r="I244" i="202"/>
  <c r="I245" i="202"/>
  <c r="I246" i="202"/>
  <c r="I247" i="202"/>
  <c r="I248" i="202"/>
  <c r="I249" i="202"/>
  <c r="I250" i="202"/>
  <c r="I251" i="202"/>
  <c r="I252" i="202"/>
  <c r="I253" i="202"/>
  <c r="M220" i="202"/>
  <c r="M221" i="202"/>
  <c r="O221" i="202" s="1"/>
  <c r="M222" i="202"/>
  <c r="O222" i="202" s="1"/>
  <c r="M223" i="202"/>
  <c r="O223" i="202" s="1"/>
  <c r="M224" i="202"/>
  <c r="O224" i="202" s="1"/>
  <c r="M225" i="202"/>
  <c r="O225" i="202" s="1"/>
  <c r="M226" i="202"/>
  <c r="O226" i="202" s="1"/>
  <c r="M227" i="202"/>
  <c r="O227" i="202" s="1"/>
  <c r="M228" i="202"/>
  <c r="O228" i="202" s="1"/>
  <c r="M229" i="202"/>
  <c r="O229" i="202" s="1"/>
  <c r="M230" i="202"/>
  <c r="O230" i="202" s="1"/>
  <c r="M231" i="202"/>
  <c r="O231" i="202" s="1"/>
  <c r="M232" i="202"/>
  <c r="O232" i="202" s="1"/>
  <c r="M233" i="202"/>
  <c r="O233" i="202" s="1"/>
  <c r="M234" i="202"/>
  <c r="O234" i="202" s="1"/>
  <c r="L220" i="202"/>
  <c r="N220" i="202" s="1"/>
  <c r="L221" i="202"/>
  <c r="N221" i="202" s="1"/>
  <c r="L222" i="202"/>
  <c r="N222" i="202" s="1"/>
  <c r="L223" i="202"/>
  <c r="N223" i="202" s="1"/>
  <c r="L224" i="202"/>
  <c r="N224" i="202" s="1"/>
  <c r="L225" i="202"/>
  <c r="N225" i="202" s="1"/>
  <c r="L226" i="202"/>
  <c r="N226" i="202" s="1"/>
  <c r="L227" i="202"/>
  <c r="N227" i="202" s="1"/>
  <c r="L228" i="202"/>
  <c r="N228" i="202" s="1"/>
  <c r="L229" i="202"/>
  <c r="N229" i="202" s="1"/>
  <c r="L230" i="202"/>
  <c r="N230" i="202" s="1"/>
  <c r="L231" i="202"/>
  <c r="N231" i="202" s="1"/>
  <c r="L232" i="202"/>
  <c r="N232" i="202" s="1"/>
  <c r="L233" i="202"/>
  <c r="N233" i="202" s="1"/>
  <c r="L234" i="202"/>
  <c r="N234" i="202" s="1"/>
  <c r="I220" i="202"/>
  <c r="I221" i="202"/>
  <c r="I222" i="202"/>
  <c r="I223" i="202"/>
  <c r="I224" i="202"/>
  <c r="I225" i="202"/>
  <c r="I226" i="202"/>
  <c r="I227" i="202"/>
  <c r="I228" i="202"/>
  <c r="I229" i="202"/>
  <c r="I230" i="202"/>
  <c r="I231" i="202"/>
  <c r="I232" i="202"/>
  <c r="I233" i="202"/>
  <c r="I234" i="202"/>
  <c r="M201" i="202"/>
  <c r="O201" i="202" s="1"/>
  <c r="M202" i="202"/>
  <c r="O202" i="202" s="1"/>
  <c r="M203" i="202"/>
  <c r="O203" i="202" s="1"/>
  <c r="M204" i="202"/>
  <c r="O204" i="202" s="1"/>
  <c r="M205" i="202"/>
  <c r="O205" i="202" s="1"/>
  <c r="M206" i="202"/>
  <c r="O206" i="202" s="1"/>
  <c r="M207" i="202"/>
  <c r="O207" i="202" s="1"/>
  <c r="M208" i="202"/>
  <c r="M209" i="202"/>
  <c r="O209" i="202" s="1"/>
  <c r="M210" i="202"/>
  <c r="O210" i="202" s="1"/>
  <c r="M211" i="202"/>
  <c r="O211" i="202" s="1"/>
  <c r="M212" i="202"/>
  <c r="O212" i="202" s="1"/>
  <c r="M213" i="202"/>
  <c r="O213" i="202" s="1"/>
  <c r="M214" i="202"/>
  <c r="O214" i="202" s="1"/>
  <c r="M215" i="202"/>
  <c r="O215" i="202" s="1"/>
  <c r="L201" i="202"/>
  <c r="N201" i="202" s="1"/>
  <c r="L202" i="202"/>
  <c r="N202" i="202" s="1"/>
  <c r="L203" i="202"/>
  <c r="N203" i="202" s="1"/>
  <c r="L204" i="202"/>
  <c r="N204" i="202" s="1"/>
  <c r="L205" i="202"/>
  <c r="N205" i="202" s="1"/>
  <c r="L206" i="202"/>
  <c r="N206" i="202" s="1"/>
  <c r="L207" i="202"/>
  <c r="N207" i="202" s="1"/>
  <c r="L208" i="202"/>
  <c r="N208" i="202" s="1"/>
  <c r="L209" i="202"/>
  <c r="N209" i="202" s="1"/>
  <c r="L210" i="202"/>
  <c r="N210" i="202" s="1"/>
  <c r="L211" i="202"/>
  <c r="N211" i="202" s="1"/>
  <c r="L212" i="202"/>
  <c r="N212" i="202" s="1"/>
  <c r="L213" i="202"/>
  <c r="N213" i="202" s="1"/>
  <c r="L214" i="202"/>
  <c r="N214" i="202" s="1"/>
  <c r="L215" i="202"/>
  <c r="N215" i="202" s="1"/>
  <c r="K183" i="202"/>
  <c r="M183" i="202" s="1"/>
  <c r="O183" i="202" s="1"/>
  <c r="K184" i="202"/>
  <c r="L184" i="202" s="1"/>
  <c r="N184" i="202" s="1"/>
  <c r="K185" i="202"/>
  <c r="M185" i="202" s="1"/>
  <c r="O185" i="202" s="1"/>
  <c r="K186" i="202"/>
  <c r="L186" i="202" s="1"/>
  <c r="N186" i="202" s="1"/>
  <c r="K187" i="202"/>
  <c r="M187" i="202" s="1"/>
  <c r="O187" i="202" s="1"/>
  <c r="K188" i="202"/>
  <c r="M188" i="202" s="1"/>
  <c r="O188" i="202" s="1"/>
  <c r="K189" i="202"/>
  <c r="L189" i="202" s="1"/>
  <c r="N189" i="202" s="1"/>
  <c r="K190" i="202"/>
  <c r="M190" i="202" s="1"/>
  <c r="O190" i="202" s="1"/>
  <c r="K191" i="202"/>
  <c r="M191" i="202" s="1"/>
  <c r="O191" i="202" s="1"/>
  <c r="K192" i="202"/>
  <c r="L192" i="202" s="1"/>
  <c r="N192" i="202" s="1"/>
  <c r="K193" i="202"/>
  <c r="M193" i="202" s="1"/>
  <c r="O193" i="202" s="1"/>
  <c r="K194" i="202"/>
  <c r="L194" i="202" s="1"/>
  <c r="N194" i="202" s="1"/>
  <c r="K195" i="202"/>
  <c r="M195" i="202" s="1"/>
  <c r="O195" i="202" s="1"/>
  <c r="K196" i="202"/>
  <c r="M156" i="202"/>
  <c r="O156" i="202" s="1"/>
  <c r="M157" i="202"/>
  <c r="O157" i="202" s="1"/>
  <c r="M158" i="202"/>
  <c r="O158" i="202" s="1"/>
  <c r="M159" i="202"/>
  <c r="O159" i="202" s="1"/>
  <c r="M160" i="202"/>
  <c r="O160" i="202" s="1"/>
  <c r="M161" i="202"/>
  <c r="O161" i="202" s="1"/>
  <c r="M162" i="202"/>
  <c r="O162" i="202" s="1"/>
  <c r="M163" i="202"/>
  <c r="O163" i="202" s="1"/>
  <c r="M164" i="202"/>
  <c r="O164" i="202" s="1"/>
  <c r="M165" i="202"/>
  <c r="O165" i="202" s="1"/>
  <c r="M166" i="202"/>
  <c r="O166" i="202" s="1"/>
  <c r="M167" i="202"/>
  <c r="O167" i="202" s="1"/>
  <c r="M168" i="202"/>
  <c r="O168" i="202" s="1"/>
  <c r="M169" i="202"/>
  <c r="O169" i="202" s="1"/>
  <c r="M170" i="202"/>
  <c r="O170" i="202" s="1"/>
  <c r="L156" i="202"/>
  <c r="N156" i="202" s="1"/>
  <c r="L157" i="202"/>
  <c r="N157" i="202" s="1"/>
  <c r="L158" i="202"/>
  <c r="N158" i="202" s="1"/>
  <c r="L159" i="202"/>
  <c r="N159" i="202" s="1"/>
  <c r="L160" i="202"/>
  <c r="N160" i="202" s="1"/>
  <c r="L161" i="202"/>
  <c r="N161" i="202" s="1"/>
  <c r="L162" i="202"/>
  <c r="N162" i="202" s="1"/>
  <c r="L163" i="202"/>
  <c r="N163" i="202" s="1"/>
  <c r="L164" i="202"/>
  <c r="N164" i="202" s="1"/>
  <c r="L165" i="202"/>
  <c r="N165" i="202" s="1"/>
  <c r="L166" i="202"/>
  <c r="N166" i="202" s="1"/>
  <c r="L167" i="202"/>
  <c r="N167" i="202" s="1"/>
  <c r="L168" i="202"/>
  <c r="N168" i="202" s="1"/>
  <c r="L169" i="202"/>
  <c r="N169" i="202" s="1"/>
  <c r="L170" i="202"/>
  <c r="N170" i="202" s="1"/>
  <c r="I156" i="202"/>
  <c r="I157" i="202"/>
  <c r="I158" i="202"/>
  <c r="I159" i="202"/>
  <c r="I160" i="202"/>
  <c r="I161" i="202"/>
  <c r="I162" i="202"/>
  <c r="I163" i="202"/>
  <c r="I164" i="202"/>
  <c r="I165" i="202"/>
  <c r="I166" i="202"/>
  <c r="I167" i="202"/>
  <c r="I168" i="202"/>
  <c r="I169" i="202"/>
  <c r="I170" i="202"/>
  <c r="M137" i="202"/>
  <c r="M138" i="202"/>
  <c r="O138" i="202" s="1"/>
  <c r="M139" i="202"/>
  <c r="O139" i="202" s="1"/>
  <c r="M140" i="202"/>
  <c r="O140" i="202" s="1"/>
  <c r="M141" i="202"/>
  <c r="O141" i="202" s="1"/>
  <c r="M142" i="202"/>
  <c r="O142" i="202" s="1"/>
  <c r="M143" i="202"/>
  <c r="O143" i="202" s="1"/>
  <c r="M144" i="202"/>
  <c r="O144" i="202" s="1"/>
  <c r="M145" i="202"/>
  <c r="O145" i="202" s="1"/>
  <c r="M146" i="202"/>
  <c r="O146" i="202" s="1"/>
  <c r="M147" i="202"/>
  <c r="O147" i="202" s="1"/>
  <c r="M148" i="202"/>
  <c r="O148" i="202" s="1"/>
  <c r="M149" i="202"/>
  <c r="O149" i="202" s="1"/>
  <c r="M150" i="202"/>
  <c r="O150" i="202" s="1"/>
  <c r="M151" i="202"/>
  <c r="O151" i="202" s="1"/>
  <c r="L137" i="202"/>
  <c r="L138" i="202"/>
  <c r="N138" i="202" s="1"/>
  <c r="L139" i="202"/>
  <c r="N139" i="202" s="1"/>
  <c r="L140" i="202"/>
  <c r="N140" i="202" s="1"/>
  <c r="L141" i="202"/>
  <c r="N141" i="202" s="1"/>
  <c r="L142" i="202"/>
  <c r="N142" i="202" s="1"/>
  <c r="L143" i="202"/>
  <c r="N143" i="202" s="1"/>
  <c r="L144" i="202"/>
  <c r="N144" i="202" s="1"/>
  <c r="L145" i="202"/>
  <c r="N145" i="202" s="1"/>
  <c r="L146" i="202"/>
  <c r="N146" i="202" s="1"/>
  <c r="L147" i="202"/>
  <c r="N147" i="202" s="1"/>
  <c r="L148" i="202"/>
  <c r="N148" i="202" s="1"/>
  <c r="L149" i="202"/>
  <c r="N149" i="202" s="1"/>
  <c r="L150" i="202"/>
  <c r="N150" i="202" s="1"/>
  <c r="L151" i="202"/>
  <c r="N151" i="202" s="1"/>
  <c r="I137" i="202"/>
  <c r="I138" i="202"/>
  <c r="I139" i="202"/>
  <c r="I140" i="202"/>
  <c r="I141" i="202"/>
  <c r="I142" i="202"/>
  <c r="I143" i="202"/>
  <c r="I144" i="202"/>
  <c r="I145" i="202"/>
  <c r="I146" i="202"/>
  <c r="I147" i="202"/>
  <c r="I148" i="202"/>
  <c r="I149" i="202"/>
  <c r="I150" i="202"/>
  <c r="I151" i="202"/>
  <c r="M118" i="202"/>
  <c r="O118" i="202" s="1"/>
  <c r="M119" i="202"/>
  <c r="M120" i="202"/>
  <c r="O120" i="202" s="1"/>
  <c r="M121" i="202"/>
  <c r="O121" i="202" s="1"/>
  <c r="M122" i="202"/>
  <c r="O122" i="202" s="1"/>
  <c r="M123" i="202"/>
  <c r="O123" i="202" s="1"/>
  <c r="M124" i="202"/>
  <c r="O124" i="202" s="1"/>
  <c r="M125" i="202"/>
  <c r="O125" i="202" s="1"/>
  <c r="M126" i="202"/>
  <c r="O126" i="202" s="1"/>
  <c r="M127" i="202"/>
  <c r="O127" i="202" s="1"/>
  <c r="M128" i="202"/>
  <c r="O128" i="202" s="1"/>
  <c r="M129" i="202"/>
  <c r="O129" i="202" s="1"/>
  <c r="M130" i="202"/>
  <c r="O130" i="202" s="1"/>
  <c r="M131" i="202"/>
  <c r="O131" i="202" s="1"/>
  <c r="M132" i="202"/>
  <c r="O132" i="202" s="1"/>
  <c r="L118" i="202"/>
  <c r="L119" i="202"/>
  <c r="N119" i="202" s="1"/>
  <c r="L120" i="202"/>
  <c r="N120" i="202" s="1"/>
  <c r="L121" i="202"/>
  <c r="N121" i="202" s="1"/>
  <c r="L122" i="202"/>
  <c r="N122" i="202" s="1"/>
  <c r="L123" i="202"/>
  <c r="N123" i="202" s="1"/>
  <c r="L124" i="202"/>
  <c r="N124" i="202" s="1"/>
  <c r="L125" i="202"/>
  <c r="N125" i="202" s="1"/>
  <c r="L126" i="202"/>
  <c r="N126" i="202" s="1"/>
  <c r="L127" i="202"/>
  <c r="N127" i="202" s="1"/>
  <c r="L128" i="202"/>
  <c r="N128" i="202" s="1"/>
  <c r="L129" i="202"/>
  <c r="N129" i="202" s="1"/>
  <c r="L130" i="202"/>
  <c r="N130" i="202" s="1"/>
  <c r="L131" i="202"/>
  <c r="N131" i="202" s="1"/>
  <c r="L132" i="202"/>
  <c r="N132" i="202" s="1"/>
  <c r="K99" i="202"/>
  <c r="L99" i="202" s="1"/>
  <c r="K100" i="202"/>
  <c r="M100" i="202" s="1"/>
  <c r="O100" i="202" s="1"/>
  <c r="K101" i="202"/>
  <c r="L101" i="202" s="1"/>
  <c r="N101" i="202" s="1"/>
  <c r="K102" i="202"/>
  <c r="M102" i="202" s="1"/>
  <c r="O102" i="202" s="1"/>
  <c r="K103" i="202"/>
  <c r="L103" i="202" s="1"/>
  <c r="N103" i="202" s="1"/>
  <c r="K104" i="202"/>
  <c r="L104" i="202" s="1"/>
  <c r="N104" i="202" s="1"/>
  <c r="K105" i="202"/>
  <c r="M105" i="202" s="1"/>
  <c r="O105" i="202" s="1"/>
  <c r="K106" i="202"/>
  <c r="M106" i="202" s="1"/>
  <c r="O106" i="202" s="1"/>
  <c r="K107" i="202"/>
  <c r="L107" i="202" s="1"/>
  <c r="N107" i="202" s="1"/>
  <c r="K108" i="202"/>
  <c r="M108" i="202" s="1"/>
  <c r="O108" i="202" s="1"/>
  <c r="K109" i="202"/>
  <c r="L109" i="202" s="1"/>
  <c r="N109" i="202" s="1"/>
  <c r="K110" i="202"/>
  <c r="M110" i="202" s="1"/>
  <c r="O110" i="202" s="1"/>
  <c r="K111" i="202"/>
  <c r="L111" i="202" s="1"/>
  <c r="N111" i="202" s="1"/>
  <c r="K112" i="202"/>
  <c r="L112" i="202" s="1"/>
  <c r="N112" i="202" s="1"/>
  <c r="K113" i="202"/>
  <c r="M113" i="202" s="1"/>
  <c r="O113" i="202" s="1"/>
  <c r="M73" i="202"/>
  <c r="M74" i="202"/>
  <c r="O74" i="202" s="1"/>
  <c r="M75" i="202"/>
  <c r="O75" i="202" s="1"/>
  <c r="M76" i="202"/>
  <c r="O76" i="202" s="1"/>
  <c r="M77" i="202"/>
  <c r="O77" i="202" s="1"/>
  <c r="M78" i="202"/>
  <c r="O78" i="202" s="1"/>
  <c r="M79" i="202"/>
  <c r="O79" i="202" s="1"/>
  <c r="M80" i="202"/>
  <c r="O80" i="202" s="1"/>
  <c r="M81" i="202"/>
  <c r="O81" i="202" s="1"/>
  <c r="M82" i="202"/>
  <c r="O82" i="202" s="1"/>
  <c r="M83" i="202"/>
  <c r="O83" i="202" s="1"/>
  <c r="M84" i="202"/>
  <c r="O84" i="202" s="1"/>
  <c r="M85" i="202"/>
  <c r="O85" i="202" s="1"/>
  <c r="M86" i="202"/>
  <c r="O86" i="202" s="1"/>
  <c r="M87" i="202"/>
  <c r="O87" i="202" s="1"/>
  <c r="L73" i="202"/>
  <c r="L74" i="202"/>
  <c r="N74" i="202" s="1"/>
  <c r="L75" i="202"/>
  <c r="N75" i="202" s="1"/>
  <c r="L76" i="202"/>
  <c r="N76" i="202" s="1"/>
  <c r="L77" i="202"/>
  <c r="N77" i="202" s="1"/>
  <c r="L78" i="202"/>
  <c r="N78" i="202" s="1"/>
  <c r="L79" i="202"/>
  <c r="N79" i="202" s="1"/>
  <c r="L80" i="202"/>
  <c r="N80" i="202" s="1"/>
  <c r="L81" i="202"/>
  <c r="N81" i="202" s="1"/>
  <c r="L82" i="202"/>
  <c r="N82" i="202" s="1"/>
  <c r="L83" i="202"/>
  <c r="N83" i="202" s="1"/>
  <c r="L84" i="202"/>
  <c r="N84" i="202" s="1"/>
  <c r="L85" i="202"/>
  <c r="N85" i="202" s="1"/>
  <c r="L86" i="202"/>
  <c r="N86" i="202" s="1"/>
  <c r="L87" i="202"/>
  <c r="N87" i="202" s="1"/>
  <c r="I73" i="202"/>
  <c r="I74" i="202"/>
  <c r="I75" i="202"/>
  <c r="I76" i="202"/>
  <c r="I77" i="202"/>
  <c r="I78" i="202"/>
  <c r="I79" i="202"/>
  <c r="I80" i="202"/>
  <c r="I81" i="202"/>
  <c r="I82" i="202"/>
  <c r="I83" i="202"/>
  <c r="I84" i="202"/>
  <c r="I85" i="202"/>
  <c r="I86" i="202"/>
  <c r="I87" i="202"/>
  <c r="M54" i="202"/>
  <c r="O54" i="202" s="1"/>
  <c r="M55" i="202"/>
  <c r="O55" i="202" s="1"/>
  <c r="M56" i="202"/>
  <c r="O56" i="202" s="1"/>
  <c r="M57" i="202"/>
  <c r="O57" i="202" s="1"/>
  <c r="M58" i="202"/>
  <c r="O58" i="202" s="1"/>
  <c r="M59" i="202"/>
  <c r="O59" i="202" s="1"/>
  <c r="M60" i="202"/>
  <c r="O60" i="202" s="1"/>
  <c r="M61" i="202"/>
  <c r="O61" i="202" s="1"/>
  <c r="M62" i="202"/>
  <c r="O62" i="202" s="1"/>
  <c r="M63" i="202"/>
  <c r="O63" i="202" s="1"/>
  <c r="M64" i="202"/>
  <c r="O64" i="202" s="1"/>
  <c r="M65" i="202"/>
  <c r="O65" i="202" s="1"/>
  <c r="M66" i="202"/>
  <c r="O66" i="202" s="1"/>
  <c r="M67" i="202"/>
  <c r="O67" i="202" s="1"/>
  <c r="M68" i="202"/>
  <c r="O68" i="202" s="1"/>
  <c r="L54" i="202"/>
  <c r="L55" i="202"/>
  <c r="N55" i="202" s="1"/>
  <c r="L56" i="202"/>
  <c r="N56" i="202" s="1"/>
  <c r="L57" i="202"/>
  <c r="N57" i="202" s="1"/>
  <c r="L58" i="202"/>
  <c r="N58" i="202" s="1"/>
  <c r="L59" i="202"/>
  <c r="N59" i="202" s="1"/>
  <c r="L60" i="202"/>
  <c r="N60" i="202" s="1"/>
  <c r="L61" i="202"/>
  <c r="N61" i="202" s="1"/>
  <c r="L62" i="202"/>
  <c r="N62" i="202" s="1"/>
  <c r="L63" i="202"/>
  <c r="N63" i="202" s="1"/>
  <c r="L64" i="202"/>
  <c r="N64" i="202" s="1"/>
  <c r="L65" i="202"/>
  <c r="N65" i="202" s="1"/>
  <c r="L66" i="202"/>
  <c r="N66" i="202" s="1"/>
  <c r="L67" i="202"/>
  <c r="N67" i="202" s="1"/>
  <c r="L68" i="202"/>
  <c r="N68" i="202" s="1"/>
  <c r="I54" i="202"/>
  <c r="I55" i="202"/>
  <c r="I56" i="202"/>
  <c r="I57" i="202"/>
  <c r="I58" i="202"/>
  <c r="I59" i="202"/>
  <c r="I60" i="202"/>
  <c r="I61" i="202"/>
  <c r="I62" i="202"/>
  <c r="I63" i="202"/>
  <c r="I64" i="202"/>
  <c r="I65" i="202"/>
  <c r="I66" i="202"/>
  <c r="I67" i="202"/>
  <c r="I68" i="202"/>
  <c r="M35" i="202"/>
  <c r="M36" i="202"/>
  <c r="O36" i="202" s="1"/>
  <c r="M37" i="202"/>
  <c r="O37" i="202" s="1"/>
  <c r="M38" i="202"/>
  <c r="O38" i="202" s="1"/>
  <c r="M39" i="202"/>
  <c r="O39" i="202" s="1"/>
  <c r="M40" i="202"/>
  <c r="O40" i="202" s="1"/>
  <c r="M41" i="202"/>
  <c r="O41" i="202" s="1"/>
  <c r="M42" i="202"/>
  <c r="O42" i="202" s="1"/>
  <c r="M43" i="202"/>
  <c r="O43" i="202" s="1"/>
  <c r="M44" i="202"/>
  <c r="O44" i="202" s="1"/>
  <c r="M45" i="202"/>
  <c r="O45" i="202" s="1"/>
  <c r="M46" i="202"/>
  <c r="O46" i="202" s="1"/>
  <c r="M47" i="202"/>
  <c r="O47" i="202" s="1"/>
  <c r="M48" i="202"/>
  <c r="O48" i="202" s="1"/>
  <c r="M49" i="202"/>
  <c r="O49" i="202" s="1"/>
  <c r="L35" i="202"/>
  <c r="L36" i="202"/>
  <c r="N36" i="202" s="1"/>
  <c r="L37" i="202"/>
  <c r="N37" i="202" s="1"/>
  <c r="L38" i="202"/>
  <c r="N38" i="202" s="1"/>
  <c r="L39" i="202"/>
  <c r="N39" i="202" s="1"/>
  <c r="L40" i="202"/>
  <c r="N40" i="202" s="1"/>
  <c r="L41" i="202"/>
  <c r="N41" i="202" s="1"/>
  <c r="L42" i="202"/>
  <c r="N42" i="202" s="1"/>
  <c r="L43" i="202"/>
  <c r="N43" i="202" s="1"/>
  <c r="L44" i="202"/>
  <c r="N44" i="202" s="1"/>
  <c r="L45" i="202"/>
  <c r="N45" i="202" s="1"/>
  <c r="L46" i="202"/>
  <c r="N46" i="202" s="1"/>
  <c r="L47" i="202"/>
  <c r="N47" i="202" s="1"/>
  <c r="L48" i="202"/>
  <c r="N48" i="202" s="1"/>
  <c r="L49" i="202"/>
  <c r="N49" i="202" s="1"/>
  <c r="K16" i="202"/>
  <c r="L16" i="202" s="1"/>
  <c r="K17" i="202"/>
  <c r="L17" i="202" s="1"/>
  <c r="N17" i="202" s="1"/>
  <c r="K18" i="202"/>
  <c r="M18" i="202" s="1"/>
  <c r="O18" i="202" s="1"/>
  <c r="K19" i="202"/>
  <c r="M19" i="202" s="1"/>
  <c r="O19" i="202" s="1"/>
  <c r="K20" i="202"/>
  <c r="M20" i="202" s="1"/>
  <c r="O20" i="202" s="1"/>
  <c r="K21" i="202"/>
  <c r="L21" i="202" s="1"/>
  <c r="N21" i="202" s="1"/>
  <c r="K22" i="202"/>
  <c r="M22" i="202" s="1"/>
  <c r="O22" i="202" s="1"/>
  <c r="K23" i="202"/>
  <c r="L23" i="202" s="1"/>
  <c r="N23" i="202" s="1"/>
  <c r="K24" i="202"/>
  <c r="L24" i="202" s="1"/>
  <c r="N24" i="202" s="1"/>
  <c r="K25" i="202"/>
  <c r="L25" i="202" s="1"/>
  <c r="N25" i="202" s="1"/>
  <c r="K26" i="202"/>
  <c r="L26" i="202" s="1"/>
  <c r="N26" i="202" s="1"/>
  <c r="K27" i="202"/>
  <c r="M27" i="202" s="1"/>
  <c r="O27" i="202" s="1"/>
  <c r="K28" i="202"/>
  <c r="M28" i="202" s="1"/>
  <c r="O28" i="202" s="1"/>
  <c r="K29" i="202"/>
  <c r="L29" i="202" s="1"/>
  <c r="N29" i="202" s="1"/>
  <c r="K30" i="202"/>
  <c r="M30" i="202" s="1"/>
  <c r="O30" i="202" s="1"/>
  <c r="M244" i="280"/>
  <c r="M245" i="280"/>
  <c r="O245" i="280" s="1"/>
  <c r="M246" i="280"/>
  <c r="O246" i="280" s="1"/>
  <c r="M247" i="280"/>
  <c r="O247" i="280" s="1"/>
  <c r="M248" i="280"/>
  <c r="O248" i="280" s="1"/>
  <c r="M249" i="280"/>
  <c r="O249" i="280" s="1"/>
  <c r="M250" i="280"/>
  <c r="O250" i="280" s="1"/>
  <c r="M251" i="280"/>
  <c r="O251" i="280" s="1"/>
  <c r="M252" i="280"/>
  <c r="O252" i="280" s="1"/>
  <c r="M253" i="280"/>
  <c r="O253" i="280" s="1"/>
  <c r="M254" i="280"/>
  <c r="O254" i="280" s="1"/>
  <c r="M255" i="280"/>
  <c r="O255" i="280" s="1"/>
  <c r="M256" i="280"/>
  <c r="O256" i="280" s="1"/>
  <c r="M257" i="280"/>
  <c r="O257" i="280" s="1"/>
  <c r="M258" i="280"/>
  <c r="O258" i="280" s="1"/>
  <c r="L244" i="280"/>
  <c r="L245" i="280"/>
  <c r="N245" i="280" s="1"/>
  <c r="L246" i="280"/>
  <c r="N246" i="280" s="1"/>
  <c r="L247" i="280"/>
  <c r="N247" i="280" s="1"/>
  <c r="L248" i="280"/>
  <c r="N248" i="280" s="1"/>
  <c r="L249" i="280"/>
  <c r="N249" i="280" s="1"/>
  <c r="L250" i="280"/>
  <c r="N250" i="280" s="1"/>
  <c r="L251" i="280"/>
  <c r="N251" i="280" s="1"/>
  <c r="L252" i="280"/>
  <c r="N252" i="280" s="1"/>
  <c r="L253" i="280"/>
  <c r="N253" i="280" s="1"/>
  <c r="L254" i="280"/>
  <c r="N254" i="280" s="1"/>
  <c r="L255" i="280"/>
  <c r="N255" i="280" s="1"/>
  <c r="L256" i="280"/>
  <c r="N256" i="280" s="1"/>
  <c r="L257" i="280"/>
  <c r="N257" i="280" s="1"/>
  <c r="L258" i="280"/>
  <c r="N258" i="280" s="1"/>
  <c r="I244" i="280"/>
  <c r="I245" i="280"/>
  <c r="I246" i="280"/>
  <c r="I247" i="280"/>
  <c r="I248" i="280"/>
  <c r="I249" i="280"/>
  <c r="I250" i="280"/>
  <c r="I251" i="280"/>
  <c r="I252" i="280"/>
  <c r="I253" i="280"/>
  <c r="I254" i="280"/>
  <c r="I255" i="280"/>
  <c r="I256" i="280"/>
  <c r="I257" i="280"/>
  <c r="I258" i="280"/>
  <c r="M225" i="280"/>
  <c r="M226" i="280"/>
  <c r="O226" i="280" s="1"/>
  <c r="M227" i="280"/>
  <c r="O227" i="280" s="1"/>
  <c r="M228" i="280"/>
  <c r="O228" i="280" s="1"/>
  <c r="M229" i="280"/>
  <c r="O229" i="280" s="1"/>
  <c r="M230" i="280"/>
  <c r="O230" i="280" s="1"/>
  <c r="M231" i="280"/>
  <c r="O231" i="280" s="1"/>
  <c r="M232" i="280"/>
  <c r="O232" i="280" s="1"/>
  <c r="M233" i="280"/>
  <c r="O233" i="280" s="1"/>
  <c r="M234" i="280"/>
  <c r="O234" i="280" s="1"/>
  <c r="M235" i="280"/>
  <c r="O235" i="280" s="1"/>
  <c r="M236" i="280"/>
  <c r="O236" i="280" s="1"/>
  <c r="M237" i="280"/>
  <c r="O237" i="280" s="1"/>
  <c r="M238" i="280"/>
  <c r="O238" i="280" s="1"/>
  <c r="M239" i="280"/>
  <c r="O239" i="280" s="1"/>
  <c r="L225" i="280"/>
  <c r="L226" i="280"/>
  <c r="N226" i="280" s="1"/>
  <c r="L227" i="280"/>
  <c r="N227" i="280" s="1"/>
  <c r="L228" i="280"/>
  <c r="N228" i="280" s="1"/>
  <c r="L229" i="280"/>
  <c r="N229" i="280" s="1"/>
  <c r="L230" i="280"/>
  <c r="N230" i="280" s="1"/>
  <c r="L231" i="280"/>
  <c r="N231" i="280" s="1"/>
  <c r="L232" i="280"/>
  <c r="N232" i="280" s="1"/>
  <c r="L233" i="280"/>
  <c r="N233" i="280" s="1"/>
  <c r="L234" i="280"/>
  <c r="N234" i="280" s="1"/>
  <c r="L235" i="280"/>
  <c r="N235" i="280" s="1"/>
  <c r="L236" i="280"/>
  <c r="N236" i="280" s="1"/>
  <c r="L237" i="280"/>
  <c r="N237" i="280" s="1"/>
  <c r="L238" i="280"/>
  <c r="N238" i="280" s="1"/>
  <c r="L239" i="280"/>
  <c r="N239" i="280" s="1"/>
  <c r="I225" i="280"/>
  <c r="I226" i="280"/>
  <c r="I227" i="280"/>
  <c r="I228" i="280"/>
  <c r="I229" i="280"/>
  <c r="I230" i="280"/>
  <c r="I231" i="280"/>
  <c r="I232" i="280"/>
  <c r="I233" i="280"/>
  <c r="I234" i="280"/>
  <c r="I235" i="280"/>
  <c r="I236" i="280"/>
  <c r="I237" i="280"/>
  <c r="I238" i="280"/>
  <c r="I239" i="280"/>
  <c r="M206" i="280"/>
  <c r="O206" i="280" s="1"/>
  <c r="M207" i="280"/>
  <c r="O207" i="280" s="1"/>
  <c r="M208" i="280"/>
  <c r="O208" i="280" s="1"/>
  <c r="M209" i="280"/>
  <c r="O209" i="280" s="1"/>
  <c r="M210" i="280"/>
  <c r="O210" i="280" s="1"/>
  <c r="M211" i="280"/>
  <c r="O211" i="280" s="1"/>
  <c r="M212" i="280"/>
  <c r="O212" i="280" s="1"/>
  <c r="M213" i="280"/>
  <c r="O213" i="280" s="1"/>
  <c r="M214" i="280"/>
  <c r="O214" i="280" s="1"/>
  <c r="M215" i="280"/>
  <c r="O215" i="280" s="1"/>
  <c r="M216" i="280"/>
  <c r="O216" i="280" s="1"/>
  <c r="M217" i="280"/>
  <c r="O217" i="280" s="1"/>
  <c r="M218" i="280"/>
  <c r="O218" i="280" s="1"/>
  <c r="M219" i="280"/>
  <c r="O219" i="280" s="1"/>
  <c r="M220" i="280"/>
  <c r="O220" i="280" s="1"/>
  <c r="L206" i="280"/>
  <c r="N206" i="280" s="1"/>
  <c r="L207" i="280"/>
  <c r="N207" i="280" s="1"/>
  <c r="L208" i="280"/>
  <c r="N208" i="280" s="1"/>
  <c r="L209" i="280"/>
  <c r="N209" i="280" s="1"/>
  <c r="L210" i="280"/>
  <c r="N210" i="280" s="1"/>
  <c r="L211" i="280"/>
  <c r="N211" i="280" s="1"/>
  <c r="L212" i="280"/>
  <c r="N212" i="280" s="1"/>
  <c r="L213" i="280"/>
  <c r="N213" i="280" s="1"/>
  <c r="L214" i="280"/>
  <c r="N214" i="280" s="1"/>
  <c r="L215" i="280"/>
  <c r="N215" i="280" s="1"/>
  <c r="L216" i="280"/>
  <c r="N216" i="280" s="1"/>
  <c r="L217" i="280"/>
  <c r="N217" i="280" s="1"/>
  <c r="L218" i="280"/>
  <c r="N218" i="280" s="1"/>
  <c r="L219" i="280"/>
  <c r="N219" i="280" s="1"/>
  <c r="L220" i="280"/>
  <c r="N220" i="280" s="1"/>
  <c r="K188" i="280"/>
  <c r="M188" i="280" s="1"/>
  <c r="O188" i="280" s="1"/>
  <c r="K189" i="280"/>
  <c r="K190" i="280"/>
  <c r="M190" i="280" s="1"/>
  <c r="O190" i="280" s="1"/>
  <c r="K191" i="280"/>
  <c r="M191" i="280" s="1"/>
  <c r="O191" i="280" s="1"/>
  <c r="K192" i="280"/>
  <c r="M192" i="280" s="1"/>
  <c r="O192" i="280" s="1"/>
  <c r="K193" i="280"/>
  <c r="L193" i="280" s="1"/>
  <c r="N193" i="280" s="1"/>
  <c r="K194" i="280"/>
  <c r="M194" i="280" s="1"/>
  <c r="O194" i="280" s="1"/>
  <c r="K195" i="280"/>
  <c r="M195" i="280" s="1"/>
  <c r="O195" i="280" s="1"/>
  <c r="K196" i="280"/>
  <c r="M196" i="280" s="1"/>
  <c r="O196" i="280" s="1"/>
  <c r="K197" i="280"/>
  <c r="L197" i="280" s="1"/>
  <c r="N197" i="280" s="1"/>
  <c r="K198" i="280"/>
  <c r="L198" i="280" s="1"/>
  <c r="N198" i="280" s="1"/>
  <c r="K199" i="280"/>
  <c r="M199" i="280" s="1"/>
  <c r="O199" i="280" s="1"/>
  <c r="K200" i="280"/>
  <c r="M200" i="280" s="1"/>
  <c r="O200" i="280" s="1"/>
  <c r="K201" i="280"/>
  <c r="M201" i="280" s="1"/>
  <c r="O201" i="280" s="1"/>
  <c r="M159" i="280"/>
  <c r="M160" i="280"/>
  <c r="M161" i="280"/>
  <c r="M162" i="280"/>
  <c r="M163" i="280"/>
  <c r="M164" i="280"/>
  <c r="M165" i="280"/>
  <c r="M166" i="280"/>
  <c r="M167" i="280"/>
  <c r="M168" i="280"/>
  <c r="M169" i="280"/>
  <c r="M170" i="280"/>
  <c r="M171" i="280"/>
  <c r="M172" i="280"/>
  <c r="M173" i="280"/>
  <c r="L159" i="280"/>
  <c r="L160" i="280"/>
  <c r="L161" i="280"/>
  <c r="L162" i="280"/>
  <c r="L163" i="280"/>
  <c r="L164" i="280"/>
  <c r="L165" i="280"/>
  <c r="L166" i="280"/>
  <c r="L167" i="280"/>
  <c r="L168" i="280"/>
  <c r="L169" i="280"/>
  <c r="L170" i="280"/>
  <c r="L171" i="280"/>
  <c r="L172" i="280"/>
  <c r="L173" i="280"/>
  <c r="I159" i="280"/>
  <c r="I160" i="280"/>
  <c r="I161" i="280"/>
  <c r="I162" i="280"/>
  <c r="I163" i="280"/>
  <c r="I164" i="280"/>
  <c r="I165" i="280"/>
  <c r="I166" i="280"/>
  <c r="I167" i="280"/>
  <c r="I168" i="280"/>
  <c r="I169" i="280"/>
  <c r="I170" i="280"/>
  <c r="I171" i="280"/>
  <c r="I172" i="280"/>
  <c r="I173" i="280"/>
  <c r="M140" i="280"/>
  <c r="O140" i="280" s="1"/>
  <c r="M141" i="280"/>
  <c r="O141" i="280" s="1"/>
  <c r="M142" i="280"/>
  <c r="O142" i="280" s="1"/>
  <c r="M143" i="280"/>
  <c r="M144" i="280"/>
  <c r="O144" i="280" s="1"/>
  <c r="M145" i="280"/>
  <c r="O145" i="280" s="1"/>
  <c r="M146" i="280"/>
  <c r="O146" i="280" s="1"/>
  <c r="M147" i="280"/>
  <c r="O147" i="280" s="1"/>
  <c r="M148" i="280"/>
  <c r="O148" i="280" s="1"/>
  <c r="M149" i="280"/>
  <c r="O149" i="280" s="1"/>
  <c r="M150" i="280"/>
  <c r="O150" i="280" s="1"/>
  <c r="M151" i="280"/>
  <c r="O151" i="280" s="1"/>
  <c r="M152" i="280"/>
  <c r="O152" i="280" s="1"/>
  <c r="M153" i="280"/>
  <c r="O153" i="280" s="1"/>
  <c r="M154" i="280"/>
  <c r="O154" i="280" s="1"/>
  <c r="L140" i="280"/>
  <c r="L141" i="280"/>
  <c r="N141" i="280" s="1"/>
  <c r="L142" i="280"/>
  <c r="N142" i="280" s="1"/>
  <c r="L143" i="280"/>
  <c r="N143" i="280" s="1"/>
  <c r="L144" i="280"/>
  <c r="N144" i="280" s="1"/>
  <c r="L145" i="280"/>
  <c r="N145" i="280" s="1"/>
  <c r="L146" i="280"/>
  <c r="N146" i="280" s="1"/>
  <c r="L147" i="280"/>
  <c r="N147" i="280" s="1"/>
  <c r="L148" i="280"/>
  <c r="N148" i="280" s="1"/>
  <c r="L149" i="280"/>
  <c r="N149" i="280" s="1"/>
  <c r="L150" i="280"/>
  <c r="N150" i="280" s="1"/>
  <c r="L151" i="280"/>
  <c r="N151" i="280" s="1"/>
  <c r="L152" i="280"/>
  <c r="N152" i="280" s="1"/>
  <c r="L153" i="280"/>
  <c r="N153" i="280" s="1"/>
  <c r="L154" i="280"/>
  <c r="N154" i="280" s="1"/>
  <c r="I140" i="280"/>
  <c r="I141" i="280"/>
  <c r="I142" i="280"/>
  <c r="I143" i="280"/>
  <c r="I144" i="280"/>
  <c r="I145" i="280"/>
  <c r="I146" i="280"/>
  <c r="I147" i="280"/>
  <c r="I148" i="280"/>
  <c r="I149" i="280"/>
  <c r="I150" i="280"/>
  <c r="I151" i="280"/>
  <c r="I152" i="280"/>
  <c r="I153" i="280"/>
  <c r="I154" i="280"/>
  <c r="M121" i="280"/>
  <c r="M122" i="280"/>
  <c r="O122" i="280" s="1"/>
  <c r="M123" i="280"/>
  <c r="O123" i="280" s="1"/>
  <c r="M124" i="280"/>
  <c r="O124" i="280" s="1"/>
  <c r="M125" i="280"/>
  <c r="O125" i="280" s="1"/>
  <c r="M126" i="280"/>
  <c r="O126" i="280" s="1"/>
  <c r="M127" i="280"/>
  <c r="O127" i="280" s="1"/>
  <c r="M128" i="280"/>
  <c r="O128" i="280" s="1"/>
  <c r="M129" i="280"/>
  <c r="O129" i="280" s="1"/>
  <c r="M130" i="280"/>
  <c r="O130" i="280" s="1"/>
  <c r="M131" i="280"/>
  <c r="O131" i="280" s="1"/>
  <c r="M132" i="280"/>
  <c r="O132" i="280" s="1"/>
  <c r="M133" i="280"/>
  <c r="O133" i="280" s="1"/>
  <c r="M134" i="280"/>
  <c r="O134" i="280" s="1"/>
  <c r="M135" i="280"/>
  <c r="O135" i="280" s="1"/>
  <c r="L121" i="280"/>
  <c r="L122" i="280"/>
  <c r="N122" i="280" s="1"/>
  <c r="L123" i="280"/>
  <c r="N123" i="280" s="1"/>
  <c r="L124" i="280"/>
  <c r="N124" i="280" s="1"/>
  <c r="L125" i="280"/>
  <c r="N125" i="280" s="1"/>
  <c r="L126" i="280"/>
  <c r="N126" i="280" s="1"/>
  <c r="L127" i="280"/>
  <c r="N127" i="280" s="1"/>
  <c r="L128" i="280"/>
  <c r="N128" i="280" s="1"/>
  <c r="L129" i="280"/>
  <c r="N129" i="280" s="1"/>
  <c r="L130" i="280"/>
  <c r="N130" i="280" s="1"/>
  <c r="L131" i="280"/>
  <c r="N131" i="280" s="1"/>
  <c r="L132" i="280"/>
  <c r="N132" i="280" s="1"/>
  <c r="L133" i="280"/>
  <c r="N133" i="280" s="1"/>
  <c r="L134" i="280"/>
  <c r="N134" i="280" s="1"/>
  <c r="L135" i="280"/>
  <c r="N135" i="280" s="1"/>
  <c r="M74" i="280"/>
  <c r="M75" i="280"/>
  <c r="O75" i="280" s="1"/>
  <c r="M76" i="280"/>
  <c r="O76" i="280" s="1"/>
  <c r="M77" i="280"/>
  <c r="O77" i="280" s="1"/>
  <c r="M78" i="280"/>
  <c r="O78" i="280" s="1"/>
  <c r="M79" i="280"/>
  <c r="O79" i="280" s="1"/>
  <c r="M80" i="280"/>
  <c r="O80" i="280" s="1"/>
  <c r="M81" i="280"/>
  <c r="O81" i="280" s="1"/>
  <c r="M82" i="280"/>
  <c r="O82" i="280" s="1"/>
  <c r="M83" i="280"/>
  <c r="O83" i="280" s="1"/>
  <c r="M84" i="280"/>
  <c r="O84" i="280" s="1"/>
  <c r="M85" i="280"/>
  <c r="O85" i="280" s="1"/>
  <c r="M86" i="280"/>
  <c r="O86" i="280" s="1"/>
  <c r="M87" i="280"/>
  <c r="O87" i="280" s="1"/>
  <c r="M88" i="280"/>
  <c r="O88" i="280" s="1"/>
  <c r="L74" i="280"/>
  <c r="L75" i="280"/>
  <c r="N75" i="280" s="1"/>
  <c r="L76" i="280"/>
  <c r="N76" i="280" s="1"/>
  <c r="L77" i="280"/>
  <c r="N77" i="280" s="1"/>
  <c r="L78" i="280"/>
  <c r="N78" i="280" s="1"/>
  <c r="L79" i="280"/>
  <c r="N79" i="280" s="1"/>
  <c r="L80" i="280"/>
  <c r="N80" i="280" s="1"/>
  <c r="L81" i="280"/>
  <c r="N81" i="280" s="1"/>
  <c r="L82" i="280"/>
  <c r="N82" i="280" s="1"/>
  <c r="L83" i="280"/>
  <c r="N83" i="280" s="1"/>
  <c r="L84" i="280"/>
  <c r="N84" i="280" s="1"/>
  <c r="L85" i="280"/>
  <c r="N85" i="280" s="1"/>
  <c r="L86" i="280"/>
  <c r="N86" i="280" s="1"/>
  <c r="L87" i="280"/>
  <c r="N87" i="280" s="1"/>
  <c r="L88" i="280"/>
  <c r="N88" i="280" s="1"/>
  <c r="I74" i="280"/>
  <c r="I75" i="280"/>
  <c r="I76" i="280"/>
  <c r="I77" i="280"/>
  <c r="I78" i="280"/>
  <c r="I79" i="280"/>
  <c r="I80" i="280"/>
  <c r="I81" i="280"/>
  <c r="I82" i="280"/>
  <c r="I83" i="280"/>
  <c r="I84" i="280"/>
  <c r="I85" i="280"/>
  <c r="I86" i="280"/>
  <c r="I87" i="280"/>
  <c r="I88" i="280"/>
  <c r="M55" i="280"/>
  <c r="O55" i="280" s="1"/>
  <c r="M56" i="280"/>
  <c r="O56" i="280" s="1"/>
  <c r="M57" i="280"/>
  <c r="O57" i="280" s="1"/>
  <c r="M58" i="280"/>
  <c r="O58" i="280" s="1"/>
  <c r="M59" i="280"/>
  <c r="O59" i="280" s="1"/>
  <c r="M60" i="280"/>
  <c r="O60" i="280" s="1"/>
  <c r="M61" i="280"/>
  <c r="O61" i="280" s="1"/>
  <c r="M62" i="280"/>
  <c r="O62" i="280" s="1"/>
  <c r="M63" i="280"/>
  <c r="O63" i="280" s="1"/>
  <c r="M64" i="280"/>
  <c r="O64" i="280" s="1"/>
  <c r="M65" i="280"/>
  <c r="O65" i="280" s="1"/>
  <c r="M66" i="280"/>
  <c r="O66" i="280" s="1"/>
  <c r="M67" i="280"/>
  <c r="O67" i="280" s="1"/>
  <c r="M68" i="280"/>
  <c r="O68" i="280" s="1"/>
  <c r="M69" i="280"/>
  <c r="O69" i="280" s="1"/>
  <c r="L55" i="280"/>
  <c r="N55" i="280" s="1"/>
  <c r="L56" i="280"/>
  <c r="N56" i="280" s="1"/>
  <c r="L57" i="280"/>
  <c r="N57" i="280" s="1"/>
  <c r="L58" i="280"/>
  <c r="N58" i="280" s="1"/>
  <c r="L59" i="280"/>
  <c r="N59" i="280" s="1"/>
  <c r="L60" i="280"/>
  <c r="N60" i="280" s="1"/>
  <c r="L61" i="280"/>
  <c r="N61" i="280" s="1"/>
  <c r="L62" i="280"/>
  <c r="N62" i="280" s="1"/>
  <c r="L63" i="280"/>
  <c r="N63" i="280" s="1"/>
  <c r="L64" i="280"/>
  <c r="N64" i="280" s="1"/>
  <c r="L65" i="280"/>
  <c r="N65" i="280" s="1"/>
  <c r="L66" i="280"/>
  <c r="N66" i="280" s="1"/>
  <c r="L67" i="280"/>
  <c r="N67" i="280" s="1"/>
  <c r="L68" i="280"/>
  <c r="N68" i="280" s="1"/>
  <c r="L69" i="280"/>
  <c r="N69" i="280" s="1"/>
  <c r="I55" i="280"/>
  <c r="I56" i="280"/>
  <c r="I57" i="280"/>
  <c r="I58" i="280"/>
  <c r="I59" i="280"/>
  <c r="I60" i="280"/>
  <c r="I61" i="280"/>
  <c r="I62" i="280"/>
  <c r="I63" i="280"/>
  <c r="I64" i="280"/>
  <c r="I65" i="280"/>
  <c r="I66" i="280"/>
  <c r="I67" i="280"/>
  <c r="I68" i="280"/>
  <c r="I69" i="280"/>
  <c r="M36" i="280"/>
  <c r="O36" i="280" s="1"/>
  <c r="M37" i="280"/>
  <c r="O37" i="280" s="1"/>
  <c r="M38" i="280"/>
  <c r="O38" i="280" s="1"/>
  <c r="M39" i="280"/>
  <c r="O39" i="280" s="1"/>
  <c r="M40" i="280"/>
  <c r="O40" i="280" s="1"/>
  <c r="M41" i="280"/>
  <c r="O41" i="280" s="1"/>
  <c r="M42" i="280"/>
  <c r="O42" i="280" s="1"/>
  <c r="M43" i="280"/>
  <c r="O43" i="280" s="1"/>
  <c r="M44" i="280"/>
  <c r="O44" i="280" s="1"/>
  <c r="M45" i="280"/>
  <c r="O45" i="280" s="1"/>
  <c r="M46" i="280"/>
  <c r="O46" i="280" s="1"/>
  <c r="M47" i="280"/>
  <c r="O47" i="280" s="1"/>
  <c r="M48" i="280"/>
  <c r="O48" i="280" s="1"/>
  <c r="M49" i="280"/>
  <c r="O49" i="280" s="1"/>
  <c r="M50" i="280"/>
  <c r="O50" i="280" s="1"/>
  <c r="L36" i="280"/>
  <c r="L37" i="280"/>
  <c r="N37" i="280" s="1"/>
  <c r="L38" i="280"/>
  <c r="N38" i="280" s="1"/>
  <c r="L39" i="280"/>
  <c r="N39" i="280" s="1"/>
  <c r="L40" i="280"/>
  <c r="N40" i="280" s="1"/>
  <c r="L41" i="280"/>
  <c r="N41" i="280" s="1"/>
  <c r="L42" i="280"/>
  <c r="N42" i="280" s="1"/>
  <c r="L43" i="280"/>
  <c r="N43" i="280" s="1"/>
  <c r="L44" i="280"/>
  <c r="N44" i="280" s="1"/>
  <c r="L45" i="280"/>
  <c r="N45" i="280" s="1"/>
  <c r="L46" i="280"/>
  <c r="N46" i="280" s="1"/>
  <c r="L47" i="280"/>
  <c r="N47" i="280" s="1"/>
  <c r="L48" i="280"/>
  <c r="N48" i="280" s="1"/>
  <c r="L49" i="280"/>
  <c r="N49" i="280" s="1"/>
  <c r="L50" i="280"/>
  <c r="N50" i="280" s="1"/>
  <c r="K28" i="280"/>
  <c r="L28" i="280" s="1"/>
  <c r="N28" i="280" s="1"/>
  <c r="K29" i="280"/>
  <c r="M29" i="280" s="1"/>
  <c r="O29" i="280" s="1"/>
  <c r="K30" i="280"/>
  <c r="L30" i="280" s="1"/>
  <c r="N30" i="280" s="1"/>
  <c r="K31" i="280"/>
  <c r="M31" i="280" s="1"/>
  <c r="O31" i="280" s="1"/>
  <c r="Q74" i="179"/>
  <c r="Q75" i="179"/>
  <c r="O81" i="203" s="1"/>
  <c r="Q76" i="179"/>
  <c r="Q77" i="179"/>
  <c r="Q78" i="179"/>
  <c r="O16" i="203" s="1"/>
  <c r="Q79" i="179"/>
  <c r="O15" i="203" s="1"/>
  <c r="Q80" i="179"/>
  <c r="Q81" i="179"/>
  <c r="O17" i="203" s="1"/>
  <c r="Q82" i="179"/>
  <c r="O19" i="203" s="1"/>
  <c r="Q83" i="179"/>
  <c r="O18" i="203" s="1"/>
  <c r="Q84" i="179"/>
  <c r="Q85" i="179"/>
  <c r="Q86" i="179"/>
  <c r="O147" i="203" s="1"/>
  <c r="Q87" i="179"/>
  <c r="Q88" i="179"/>
  <c r="Q89" i="179"/>
  <c r="Q90" i="179"/>
  <c r="Q91" i="179"/>
  <c r="Q92" i="179"/>
  <c r="Q93" i="179"/>
  <c r="Q94" i="179"/>
  <c r="Q95" i="179"/>
  <c r="Q96" i="179"/>
  <c r="Q97" i="179"/>
  <c r="Q98" i="179"/>
  <c r="P74" i="179"/>
  <c r="P75" i="179"/>
  <c r="N81" i="203" s="1"/>
  <c r="P76" i="179"/>
  <c r="P77" i="179"/>
  <c r="P78" i="179"/>
  <c r="N16" i="203" s="1"/>
  <c r="P79" i="179"/>
  <c r="N15" i="203" s="1"/>
  <c r="P80" i="179"/>
  <c r="P81" i="179"/>
  <c r="N17" i="203" s="1"/>
  <c r="P82" i="179"/>
  <c r="N19" i="203" s="1"/>
  <c r="P83" i="179"/>
  <c r="N18" i="203" s="1"/>
  <c r="P84" i="179"/>
  <c r="P85" i="179"/>
  <c r="P86" i="179"/>
  <c r="N147" i="203" s="1"/>
  <c r="P87" i="179"/>
  <c r="P88" i="179"/>
  <c r="P89" i="179"/>
  <c r="P90" i="179"/>
  <c r="P91" i="179"/>
  <c r="P92" i="179"/>
  <c r="P93" i="179"/>
  <c r="P94" i="179"/>
  <c r="P95" i="179"/>
  <c r="P96" i="179"/>
  <c r="P97" i="179"/>
  <c r="P98" i="179"/>
  <c r="D134" i="177"/>
  <c r="D135" i="177"/>
  <c r="D136" i="177"/>
  <c r="D137" i="177"/>
  <c r="D138" i="177"/>
  <c r="D139" i="177"/>
  <c r="D140" i="177"/>
  <c r="D141" i="177"/>
  <c r="D142" i="177"/>
  <c r="D143" i="177"/>
  <c r="D144" i="177"/>
  <c r="D145" i="177"/>
  <c r="D146" i="177"/>
  <c r="D147" i="177"/>
  <c r="D148" i="177"/>
  <c r="D149" i="177"/>
  <c r="D150" i="177"/>
  <c r="D151" i="177"/>
  <c r="D152" i="177"/>
  <c r="D153" i="177"/>
  <c r="D154" i="177"/>
  <c r="D155" i="177"/>
  <c r="D156" i="177"/>
  <c r="D157" i="177"/>
  <c r="D158" i="177"/>
  <c r="M195" i="182" l="1"/>
  <c r="O195" i="182" s="1"/>
  <c r="L100" i="202"/>
  <c r="N100" i="202" s="1"/>
  <c r="L105" i="202"/>
  <c r="N105" i="202" s="1"/>
  <c r="N150" i="203"/>
  <c r="N158" i="203"/>
  <c r="N82" i="203"/>
  <c r="N90" i="203"/>
  <c r="N22" i="203"/>
  <c r="N151" i="203"/>
  <c r="N159" i="203"/>
  <c r="N83" i="203"/>
  <c r="N91" i="203"/>
  <c r="N23" i="203"/>
  <c r="N27" i="203"/>
  <c r="N152" i="203"/>
  <c r="N160" i="203"/>
  <c r="N84" i="203"/>
  <c r="N92" i="203"/>
  <c r="N24" i="203"/>
  <c r="N153" i="203"/>
  <c r="N161" i="203"/>
  <c r="N85" i="203"/>
  <c r="N93" i="203"/>
  <c r="N25" i="203"/>
  <c r="N154" i="203"/>
  <c r="N86" i="203"/>
  <c r="N94" i="203"/>
  <c r="N26" i="203"/>
  <c r="N155" i="203"/>
  <c r="N87" i="203"/>
  <c r="N95" i="203"/>
  <c r="N148" i="203"/>
  <c r="N156" i="203"/>
  <c r="N88" i="203"/>
  <c r="N20" i="203"/>
  <c r="N28" i="203"/>
  <c r="N149" i="203"/>
  <c r="N157" i="203"/>
  <c r="N89" i="203"/>
  <c r="N21" i="203"/>
  <c r="N29" i="203"/>
  <c r="O149" i="203"/>
  <c r="O157" i="203"/>
  <c r="O89" i="203"/>
  <c r="O21" i="203"/>
  <c r="O29" i="203"/>
  <c r="O150" i="203"/>
  <c r="O158" i="203"/>
  <c r="O82" i="203"/>
  <c r="O90" i="203"/>
  <c r="O22" i="203"/>
  <c r="O151" i="203"/>
  <c r="O159" i="203"/>
  <c r="O83" i="203"/>
  <c r="O91" i="203"/>
  <c r="O23" i="203"/>
  <c r="O152" i="203"/>
  <c r="O160" i="203"/>
  <c r="O84" i="203"/>
  <c r="O92" i="203"/>
  <c r="O24" i="203"/>
  <c r="O153" i="203"/>
  <c r="O161" i="203"/>
  <c r="O85" i="203"/>
  <c r="O93" i="203"/>
  <c r="O25" i="203"/>
  <c r="O154" i="203"/>
  <c r="O86" i="203"/>
  <c r="O94" i="203"/>
  <c r="O26" i="203"/>
  <c r="O155" i="203"/>
  <c r="O87" i="203"/>
  <c r="O95" i="203"/>
  <c r="O27" i="203"/>
  <c r="O148" i="203"/>
  <c r="O156" i="203"/>
  <c r="O88" i="203"/>
  <c r="O20" i="203"/>
  <c r="O28" i="203"/>
  <c r="N25" i="184"/>
  <c r="O26" i="184"/>
  <c r="N15" i="195"/>
  <c r="L194" i="280"/>
  <c r="N194" i="280" s="1"/>
  <c r="L106" i="202"/>
  <c r="N106" i="202" s="1"/>
  <c r="M107" i="202"/>
  <c r="O107" i="202" s="1"/>
  <c r="M99" i="202"/>
  <c r="O99" i="202" s="1"/>
  <c r="L22" i="187"/>
  <c r="N22" i="187" s="1"/>
  <c r="M18" i="188"/>
  <c r="L17" i="188"/>
  <c r="L22" i="188"/>
  <c r="M25" i="187"/>
  <c r="O25" i="187" s="1"/>
  <c r="L192" i="182"/>
  <c r="N192" i="182" s="1"/>
  <c r="L15" i="195"/>
  <c r="L113" i="202"/>
  <c r="N113" i="202" s="1"/>
  <c r="L20" i="188"/>
  <c r="L19" i="195"/>
  <c r="M25" i="202"/>
  <c r="O25" i="202" s="1"/>
  <c r="L108" i="182"/>
  <c r="N108" i="182" s="1"/>
  <c r="L22" i="202"/>
  <c r="N22" i="202" s="1"/>
  <c r="L28" i="195"/>
  <c r="M103" i="182"/>
  <c r="O103" i="182" s="1"/>
  <c r="L190" i="202"/>
  <c r="N190" i="202" s="1"/>
  <c r="L14" i="184"/>
  <c r="L18" i="184"/>
  <c r="L22" i="184"/>
  <c r="M20" i="195"/>
  <c r="L15" i="184"/>
  <c r="L19" i="184"/>
  <c r="L26" i="195"/>
  <c r="L23" i="188"/>
  <c r="L27" i="195"/>
  <c r="M18" i="195"/>
  <c r="L23" i="184"/>
  <c r="M30" i="188"/>
  <c r="L109" i="182"/>
  <c r="N109" i="182" s="1"/>
  <c r="L199" i="182"/>
  <c r="N199" i="182" s="1"/>
  <c r="L201" i="280"/>
  <c r="N201" i="280" s="1"/>
  <c r="M197" i="182"/>
  <c r="O197" i="182" s="1"/>
  <c r="M193" i="280"/>
  <c r="O193" i="280" s="1"/>
  <c r="L25" i="188"/>
  <c r="M16" i="202"/>
  <c r="O16" i="202" s="1"/>
  <c r="M24" i="202"/>
  <c r="O24" i="202" s="1"/>
  <c r="L183" i="202"/>
  <c r="N183" i="202" s="1"/>
  <c r="L20" i="202"/>
  <c r="N20" i="202" s="1"/>
  <c r="M191" i="182"/>
  <c r="O191" i="182" s="1"/>
  <c r="M103" i="187"/>
  <c r="O103" i="187" s="1"/>
  <c r="L190" i="280"/>
  <c r="N190" i="280" s="1"/>
  <c r="L19" i="202"/>
  <c r="N19" i="202" s="1"/>
  <c r="M26" i="188"/>
  <c r="M16" i="184"/>
  <c r="M197" i="280"/>
  <c r="O197" i="280" s="1"/>
  <c r="L29" i="195"/>
  <c r="L28" i="202"/>
  <c r="N28" i="202" s="1"/>
  <c r="L110" i="182"/>
  <c r="N110" i="182" s="1"/>
  <c r="L29" i="280"/>
  <c r="N29" i="280" s="1"/>
  <c r="L191" i="187"/>
  <c r="N191" i="187" s="1"/>
  <c r="M109" i="202"/>
  <c r="O109" i="202" s="1"/>
  <c r="M17" i="202"/>
  <c r="O17" i="202" s="1"/>
  <c r="L18" i="202"/>
  <c r="N18" i="202" s="1"/>
  <c r="L182" i="187"/>
  <c r="N182" i="187" s="1"/>
  <c r="L27" i="202"/>
  <c r="N27" i="202" s="1"/>
  <c r="M111" i="182"/>
  <c r="O111" i="182" s="1"/>
  <c r="L27" i="184"/>
  <c r="L110" i="202"/>
  <c r="N110" i="202" s="1"/>
  <c r="L104" i="187"/>
  <c r="N104" i="187" s="1"/>
  <c r="L113" i="182"/>
  <c r="N113" i="182" s="1"/>
  <c r="L30" i="202"/>
  <c r="N30" i="202" s="1"/>
  <c r="M16" i="195"/>
  <c r="M26" i="202"/>
  <c r="O26" i="202" s="1"/>
  <c r="L185" i="202"/>
  <c r="N185" i="202" s="1"/>
  <c r="L32" i="182"/>
  <c r="N32" i="182" s="1"/>
  <c r="L20" i="184"/>
  <c r="L200" i="182"/>
  <c r="N200" i="182" s="1"/>
  <c r="L192" i="187"/>
  <c r="N192" i="187" s="1"/>
  <c r="L108" i="202"/>
  <c r="N108" i="202" s="1"/>
  <c r="M101" i="202"/>
  <c r="O101" i="202" s="1"/>
  <c r="M192" i="202"/>
  <c r="O192" i="202" s="1"/>
  <c r="M23" i="187"/>
  <c r="O23" i="187" s="1"/>
  <c r="M102" i="187"/>
  <c r="O102" i="187" s="1"/>
  <c r="M183" i="187"/>
  <c r="O183" i="187" s="1"/>
  <c r="L115" i="182"/>
  <c r="N115" i="182" s="1"/>
  <c r="L25" i="184"/>
  <c r="L193" i="182"/>
  <c r="N193" i="182" s="1"/>
  <c r="M201" i="182"/>
  <c r="O201" i="182" s="1"/>
  <c r="L24" i="187"/>
  <c r="N24" i="187" s="1"/>
  <c r="L184" i="187"/>
  <c r="N184" i="187" s="1"/>
  <c r="L191" i="202"/>
  <c r="N191" i="202" s="1"/>
  <c r="M30" i="280"/>
  <c r="O30" i="280" s="1"/>
  <c r="L23" i="195"/>
  <c r="L19" i="188"/>
  <c r="L116" i="182"/>
  <c r="N116" i="182" s="1"/>
  <c r="L17" i="184"/>
  <c r="L26" i="184"/>
  <c r="M26" i="187"/>
  <c r="O26" i="187" s="1"/>
  <c r="L190" i="187"/>
  <c r="N190" i="187" s="1"/>
  <c r="M24" i="195"/>
  <c r="L202" i="182"/>
  <c r="N202" i="182" s="1"/>
  <c r="M21" i="184"/>
  <c r="M194" i="202"/>
  <c r="O194" i="202" s="1"/>
  <c r="M22" i="195"/>
  <c r="L107" i="182"/>
  <c r="N107" i="182" s="1"/>
  <c r="M13" i="184"/>
  <c r="L31" i="280"/>
  <c r="N31" i="280" s="1"/>
  <c r="L195" i="202"/>
  <c r="N195" i="202" s="1"/>
  <c r="M24" i="188"/>
  <c r="L198" i="182"/>
  <c r="N198" i="182" s="1"/>
  <c r="M101" i="187"/>
  <c r="O101" i="187" s="1"/>
  <c r="M21" i="202"/>
  <c r="O21" i="202" s="1"/>
  <c r="L27" i="188"/>
  <c r="L199" i="280"/>
  <c r="N199" i="280" s="1"/>
  <c r="L195" i="280"/>
  <c r="N195" i="280" s="1"/>
  <c r="M29" i="202"/>
  <c r="O29" i="202" s="1"/>
  <c r="L102" i="202"/>
  <c r="N102" i="202" s="1"/>
  <c r="L187" i="202"/>
  <c r="N187" i="202" s="1"/>
  <c r="M186" i="202"/>
  <c r="O186" i="202" s="1"/>
  <c r="N27" i="195"/>
  <c r="O26" i="195"/>
  <c r="O27" i="195"/>
  <c r="O19" i="195"/>
  <c r="N23" i="188"/>
  <c r="O22" i="188"/>
  <c r="O27" i="188"/>
  <c r="O19" i="188"/>
  <c r="L196" i="182"/>
  <c r="N196" i="182" s="1"/>
  <c r="L24" i="184"/>
  <c r="N18" i="184"/>
  <c r="N26" i="184"/>
  <c r="O19" i="184"/>
  <c r="O27" i="184"/>
  <c r="M104" i="202"/>
  <c r="O104" i="202" s="1"/>
  <c r="M184" i="202"/>
  <c r="O184" i="202" s="1"/>
  <c r="L21" i="195"/>
  <c r="N26" i="195"/>
  <c r="O24" i="195"/>
  <c r="M16" i="188"/>
  <c r="M28" i="188"/>
  <c r="N26" i="188"/>
  <c r="O24" i="188"/>
  <c r="L112" i="182"/>
  <c r="N112" i="182" s="1"/>
  <c r="N19" i="184"/>
  <c r="N27" i="184"/>
  <c r="O20" i="184"/>
  <c r="M109" i="187"/>
  <c r="O109" i="187" s="1"/>
  <c r="N23" i="195"/>
  <c r="O22" i="195"/>
  <c r="N25" i="195"/>
  <c r="N17" i="195"/>
  <c r="N27" i="188"/>
  <c r="O26" i="188"/>
  <c r="N20" i="184"/>
  <c r="O13" i="184"/>
  <c r="O21" i="184"/>
  <c r="M107" i="187"/>
  <c r="O107" i="187" s="1"/>
  <c r="M189" i="187"/>
  <c r="O189" i="187" s="1"/>
  <c r="N22" i="195"/>
  <c r="O20" i="195"/>
  <c r="N16" i="188"/>
  <c r="N28" i="188"/>
  <c r="O28" i="188"/>
  <c r="N13" i="184"/>
  <c r="N21" i="184"/>
  <c r="O14" i="184"/>
  <c r="O22" i="184"/>
  <c r="M187" i="187"/>
  <c r="O187" i="187" s="1"/>
  <c r="M112" i="202"/>
  <c r="O112" i="202" s="1"/>
  <c r="N19" i="195"/>
  <c r="O18" i="195"/>
  <c r="N18" i="188"/>
  <c r="N30" i="188"/>
  <c r="O30" i="188"/>
  <c r="N14" i="184"/>
  <c r="N22" i="184"/>
  <c r="O15" i="184"/>
  <c r="O23" i="184"/>
  <c r="M198" i="280"/>
  <c r="O198" i="280" s="1"/>
  <c r="L193" i="202"/>
  <c r="N193" i="202" s="1"/>
  <c r="N18" i="195"/>
  <c r="O16" i="195"/>
  <c r="N19" i="188"/>
  <c r="O16" i="188"/>
  <c r="L117" i="182"/>
  <c r="N117" i="182" s="1"/>
  <c r="N15" i="184"/>
  <c r="N23" i="184"/>
  <c r="O16" i="184"/>
  <c r="O24" i="184"/>
  <c r="N20" i="188"/>
  <c r="O18" i="188"/>
  <c r="N29" i="188"/>
  <c r="N21" i="188"/>
  <c r="N16" i="184"/>
  <c r="N24" i="184"/>
  <c r="O17" i="184"/>
  <c r="O25" i="184"/>
  <c r="O28" i="195"/>
  <c r="N28" i="195"/>
  <c r="N20" i="195"/>
  <c r="N22" i="188"/>
  <c r="O20" i="188"/>
  <c r="N17" i="184"/>
  <c r="O18" i="184"/>
  <c r="M21" i="187"/>
  <c r="O21" i="187" s="1"/>
  <c r="M99" i="187"/>
  <c r="O99" i="187" s="1"/>
  <c r="M181" i="187"/>
  <c r="O181" i="187" s="1"/>
  <c r="L191" i="280"/>
  <c r="N191" i="280" s="1"/>
  <c r="L240" i="280"/>
  <c r="L133" i="202"/>
  <c r="M152" i="202"/>
  <c r="L71" i="182"/>
  <c r="L167" i="187"/>
  <c r="M155" i="280"/>
  <c r="M259" i="280"/>
  <c r="L152" i="202"/>
  <c r="M235" i="202"/>
  <c r="L86" i="187"/>
  <c r="M129" i="187"/>
  <c r="M231" i="187"/>
  <c r="L259" i="280"/>
  <c r="L235" i="202"/>
  <c r="L129" i="187"/>
  <c r="M136" i="280"/>
  <c r="N244" i="280"/>
  <c r="N259" i="280" s="1"/>
  <c r="M50" i="202"/>
  <c r="L52" i="182"/>
  <c r="M90" i="182"/>
  <c r="L231" i="187"/>
  <c r="M250" i="187"/>
  <c r="L51" i="280"/>
  <c r="M89" i="280"/>
  <c r="L136" i="280"/>
  <c r="L50" i="202"/>
  <c r="L69" i="202"/>
  <c r="M88" i="202"/>
  <c r="N137" i="202"/>
  <c r="N152" i="202" s="1"/>
  <c r="N171" i="202"/>
  <c r="L90" i="182"/>
  <c r="L156" i="182"/>
  <c r="L241" i="182"/>
  <c r="M148" i="187"/>
  <c r="L250" i="187"/>
  <c r="L89" i="280"/>
  <c r="L155" i="280"/>
  <c r="L88" i="202"/>
  <c r="M254" i="202"/>
  <c r="M48" i="187"/>
  <c r="L148" i="187"/>
  <c r="N152" i="187"/>
  <c r="N167" i="187" s="1"/>
  <c r="M133" i="202"/>
  <c r="M71" i="182"/>
  <c r="L137" i="182"/>
  <c r="L222" i="182"/>
  <c r="L48" i="187"/>
  <c r="N121" i="280"/>
  <c r="N136" i="280" s="1"/>
  <c r="L254" i="202"/>
  <c r="L67" i="187"/>
  <c r="M167" i="187"/>
  <c r="N235" i="187"/>
  <c r="N250" i="187" s="1"/>
  <c r="O70" i="280"/>
  <c r="O51" i="280"/>
  <c r="N70" i="280"/>
  <c r="N36" i="280"/>
  <c r="N51" i="280" s="1"/>
  <c r="L70" i="280"/>
  <c r="M70" i="280"/>
  <c r="O143" i="280"/>
  <c r="O155" i="280" s="1"/>
  <c r="M51" i="280"/>
  <c r="L192" i="280"/>
  <c r="N192" i="280" s="1"/>
  <c r="M174" i="280"/>
  <c r="O69" i="202"/>
  <c r="O171" i="202"/>
  <c r="N140" i="280"/>
  <c r="N155" i="280" s="1"/>
  <c r="L174" i="280"/>
  <c r="L200" i="280"/>
  <c r="N200" i="280" s="1"/>
  <c r="L189" i="280"/>
  <c r="N189" i="280" s="1"/>
  <c r="M189" i="280"/>
  <c r="O189" i="280" s="1"/>
  <c r="O221" i="280"/>
  <c r="M240" i="280"/>
  <c r="O121" i="280"/>
  <c r="O136" i="280" s="1"/>
  <c r="N221" i="280"/>
  <c r="N16" i="202"/>
  <c r="M28" i="280"/>
  <c r="O28" i="280" s="1"/>
  <c r="N74" i="280"/>
  <c r="N89" i="280" s="1"/>
  <c r="O74" i="280"/>
  <c r="O89" i="280" s="1"/>
  <c r="L196" i="280"/>
  <c r="N196" i="280" s="1"/>
  <c r="L188" i="280"/>
  <c r="N188" i="280" s="1"/>
  <c r="L221" i="280"/>
  <c r="M221" i="280"/>
  <c r="O119" i="202"/>
  <c r="O133" i="202" s="1"/>
  <c r="L171" i="202"/>
  <c r="O260" i="182"/>
  <c r="N99" i="202"/>
  <c r="N118" i="202"/>
  <c r="N133" i="202" s="1"/>
  <c r="O137" i="202"/>
  <c r="O152" i="202" s="1"/>
  <c r="N235" i="202"/>
  <c r="N73" i="202"/>
  <c r="N88" i="202" s="1"/>
  <c r="O73" i="202"/>
  <c r="O88" i="202" s="1"/>
  <c r="M171" i="202"/>
  <c r="O52" i="182"/>
  <c r="N52" i="182"/>
  <c r="N54" i="202"/>
  <c r="N69" i="202" s="1"/>
  <c r="M189" i="202"/>
  <c r="O189" i="202" s="1"/>
  <c r="N90" i="182"/>
  <c r="N35" i="202"/>
  <c r="N50" i="202" s="1"/>
  <c r="O35" i="202"/>
  <c r="O50" i="202" s="1"/>
  <c r="M69" i="202"/>
  <c r="O244" i="280"/>
  <c r="O259" i="280" s="1"/>
  <c r="N216" i="202"/>
  <c r="O208" i="202"/>
  <c r="O216" i="202" s="1"/>
  <c r="M216" i="202"/>
  <c r="L216" i="202"/>
  <c r="N225" i="280"/>
  <c r="N240" i="280" s="1"/>
  <c r="O225" i="280"/>
  <c r="O240" i="280" s="1"/>
  <c r="M23" i="202"/>
  <c r="O23" i="202" s="1"/>
  <c r="M111" i="202"/>
  <c r="O111" i="202" s="1"/>
  <c r="M103" i="202"/>
  <c r="O103" i="202" s="1"/>
  <c r="N18" i="182"/>
  <c r="M196" i="202"/>
  <c r="O196" i="202" s="1"/>
  <c r="L196" i="202"/>
  <c r="N196" i="202" s="1"/>
  <c r="L188" i="202"/>
  <c r="N188" i="202" s="1"/>
  <c r="M25" i="195"/>
  <c r="M17" i="195"/>
  <c r="N24" i="195"/>
  <c r="N16" i="195"/>
  <c r="O23" i="195"/>
  <c r="O15" i="195"/>
  <c r="M21" i="188"/>
  <c r="M29" i="188"/>
  <c r="O23" i="188"/>
  <c r="M52" i="182"/>
  <c r="M156" i="182"/>
  <c r="N156" i="182"/>
  <c r="O141" i="182"/>
  <c r="O156" i="182" s="1"/>
  <c r="L190" i="182"/>
  <c r="N190" i="182" s="1"/>
  <c r="M222" i="182"/>
  <c r="N222" i="182"/>
  <c r="O241" i="182"/>
  <c r="O86" i="187"/>
  <c r="O240" i="202"/>
  <c r="O254" i="202" s="1"/>
  <c r="N239" i="202"/>
  <c r="N254" i="202" s="1"/>
  <c r="O29" i="195"/>
  <c r="O21" i="195"/>
  <c r="N24" i="188"/>
  <c r="O17" i="188"/>
  <c r="O25" i="188"/>
  <c r="M18" i="182"/>
  <c r="M106" i="182"/>
  <c r="O106" i="182" s="1"/>
  <c r="M114" i="182"/>
  <c r="O114" i="182" s="1"/>
  <c r="O137" i="182"/>
  <c r="O212" i="187"/>
  <c r="O220" i="202"/>
  <c r="O235" i="202" s="1"/>
  <c r="N29" i="195"/>
  <c r="N21" i="195"/>
  <c r="N17" i="188"/>
  <c r="N25" i="188"/>
  <c r="N212" i="187"/>
  <c r="N122" i="182"/>
  <c r="N137" i="182" s="1"/>
  <c r="L194" i="182"/>
  <c r="N194" i="182" s="1"/>
  <c r="O57" i="182"/>
  <c r="O71" i="182" s="1"/>
  <c r="O75" i="182"/>
  <c r="O90" i="182" s="1"/>
  <c r="M137" i="182"/>
  <c r="O25" i="195"/>
  <c r="O17" i="195"/>
  <c r="O21" i="188"/>
  <c r="O29" i="188"/>
  <c r="N56" i="182"/>
  <c r="N71" i="182" s="1"/>
  <c r="M175" i="182"/>
  <c r="M260" i="182"/>
  <c r="N260" i="182"/>
  <c r="O67" i="187"/>
  <c r="L175" i="182"/>
  <c r="M241" i="182"/>
  <c r="L260" i="182"/>
  <c r="N226" i="182"/>
  <c r="N241" i="182" s="1"/>
  <c r="M28" i="187"/>
  <c r="O28" i="187" s="1"/>
  <c r="M106" i="187"/>
  <c r="O106" i="187" s="1"/>
  <c r="M98" i="187"/>
  <c r="O98" i="187" s="1"/>
  <c r="O152" i="187"/>
  <c r="O167" i="187" s="1"/>
  <c r="M186" i="187"/>
  <c r="O186" i="187" s="1"/>
  <c r="L212" i="187"/>
  <c r="M212" i="187"/>
  <c r="O207" i="182"/>
  <c r="O222" i="182" s="1"/>
  <c r="M27" i="187"/>
  <c r="O27" i="187" s="1"/>
  <c r="M105" i="187"/>
  <c r="O105" i="187" s="1"/>
  <c r="M97" i="187"/>
  <c r="O97" i="187" s="1"/>
  <c r="N133" i="187"/>
  <c r="N148" i="187" s="1"/>
  <c r="O133" i="187"/>
  <c r="O148" i="187" s="1"/>
  <c r="M185" i="187"/>
  <c r="O185" i="187" s="1"/>
  <c r="N114" i="187"/>
  <c r="N129" i="187" s="1"/>
  <c r="O114" i="187"/>
  <c r="O129" i="187" s="1"/>
  <c r="N71" i="187"/>
  <c r="N86" i="187" s="1"/>
  <c r="N52" i="187"/>
  <c r="N67" i="187" s="1"/>
  <c r="M86" i="187"/>
  <c r="N33" i="187"/>
  <c r="N48" i="187" s="1"/>
  <c r="O33" i="187"/>
  <c r="O48" i="187" s="1"/>
  <c r="M67" i="187"/>
  <c r="O217" i="187"/>
  <c r="O231" i="187" s="1"/>
  <c r="O235" i="187"/>
  <c r="O250" i="187" s="1"/>
  <c r="M108" i="187"/>
  <c r="O108" i="187" s="1"/>
  <c r="M100" i="187"/>
  <c r="O100" i="187" s="1"/>
  <c r="M188" i="187"/>
  <c r="O188" i="187" s="1"/>
  <c r="M180" i="187"/>
  <c r="O180" i="187" s="1"/>
  <c r="N216" i="187"/>
  <c r="N231" i="187" s="1"/>
  <c r="O162" i="203" l="1"/>
  <c r="O30" i="203"/>
  <c r="N30" i="203"/>
  <c r="N96" i="203"/>
  <c r="O96" i="203"/>
  <c r="N162" i="203"/>
  <c r="N31" i="202"/>
  <c r="L31" i="202"/>
  <c r="M28" i="184"/>
  <c r="L31" i="188"/>
  <c r="L114" i="202"/>
  <c r="N114" i="202"/>
  <c r="L30" i="195"/>
  <c r="L28" i="184"/>
  <c r="O28" i="184"/>
  <c r="N28" i="184"/>
  <c r="M30" i="195"/>
  <c r="M31" i="188"/>
  <c r="N30" i="195"/>
  <c r="O31" i="188"/>
  <c r="N31" i="188"/>
  <c r="O31" i="202"/>
  <c r="O30" i="195"/>
  <c r="O18" i="182"/>
  <c r="O114" i="202"/>
  <c r="M31" i="202"/>
  <c r="M114" i="202"/>
  <c r="E109" i="282" l="1"/>
  <c r="F106" i="282"/>
  <c r="F105" i="282"/>
  <c r="F104" i="282"/>
  <c r="F103" i="282"/>
  <c r="F102" i="282"/>
  <c r="E101" i="282"/>
  <c r="F98" i="282"/>
  <c r="F97" i="282"/>
  <c r="E96" i="282"/>
  <c r="F93" i="282"/>
  <c r="F92" i="282"/>
  <c r="E91" i="282"/>
  <c r="F88" i="282"/>
  <c r="F87" i="282"/>
  <c r="F86" i="282"/>
  <c r="E85" i="282"/>
  <c r="O84" i="282"/>
  <c r="N84" i="282"/>
  <c r="M84" i="282"/>
  <c r="K84" i="282"/>
  <c r="J84" i="282"/>
  <c r="I84" i="282"/>
  <c r="F80" i="282"/>
  <c r="O77" i="282"/>
  <c r="N77" i="282"/>
  <c r="M77" i="282"/>
  <c r="K77" i="282"/>
  <c r="J77" i="282"/>
  <c r="I77" i="282"/>
  <c r="F77" i="282"/>
  <c r="O76" i="282"/>
  <c r="N76" i="282"/>
  <c r="M76" i="282"/>
  <c r="K76" i="282"/>
  <c r="J76" i="282"/>
  <c r="I76" i="282"/>
  <c r="F76" i="282"/>
  <c r="O75" i="282"/>
  <c r="N75" i="282"/>
  <c r="M75" i="282"/>
  <c r="K75" i="282"/>
  <c r="J75" i="282"/>
  <c r="I75" i="282"/>
  <c r="F75" i="282"/>
  <c r="O74" i="282"/>
  <c r="N74" i="282"/>
  <c r="M74" i="282"/>
  <c r="K74" i="282"/>
  <c r="J74" i="282"/>
  <c r="I74" i="282"/>
  <c r="F74" i="282"/>
  <c r="O73" i="282"/>
  <c r="N73" i="282"/>
  <c r="M73" i="282"/>
  <c r="K73" i="282"/>
  <c r="J73" i="282"/>
  <c r="I73" i="282"/>
  <c r="F73" i="282"/>
  <c r="E72" i="282"/>
  <c r="O70" i="282"/>
  <c r="N70" i="282"/>
  <c r="M70" i="282"/>
  <c r="K70" i="282"/>
  <c r="J70" i="282"/>
  <c r="I70" i="282"/>
  <c r="F70" i="282"/>
  <c r="O69" i="282"/>
  <c r="N69" i="282"/>
  <c r="M69" i="282"/>
  <c r="K69" i="282"/>
  <c r="J69" i="282"/>
  <c r="I69" i="282"/>
  <c r="F69" i="282"/>
  <c r="E68" i="282"/>
  <c r="O66" i="282"/>
  <c r="N66" i="282"/>
  <c r="M66" i="282"/>
  <c r="K66" i="282"/>
  <c r="J66" i="282"/>
  <c r="I66" i="282"/>
  <c r="F66" i="282"/>
  <c r="O65" i="282"/>
  <c r="N65" i="282"/>
  <c r="M65" i="282"/>
  <c r="K65" i="282"/>
  <c r="J65" i="282"/>
  <c r="I65" i="282"/>
  <c r="F65" i="282"/>
  <c r="E64" i="282"/>
  <c r="O62" i="282"/>
  <c r="N62" i="282"/>
  <c r="M62" i="282"/>
  <c r="K62" i="282"/>
  <c r="J62" i="282"/>
  <c r="I62" i="282"/>
  <c r="F62" i="282"/>
  <c r="O61" i="282"/>
  <c r="N61" i="282"/>
  <c r="M61" i="282"/>
  <c r="K61" i="282"/>
  <c r="J61" i="282"/>
  <c r="I61" i="282"/>
  <c r="F61" i="282"/>
  <c r="O60" i="282"/>
  <c r="N60" i="282"/>
  <c r="M60" i="282"/>
  <c r="K60" i="282"/>
  <c r="J60" i="282"/>
  <c r="I60" i="282"/>
  <c r="F60" i="282"/>
  <c r="E59" i="282"/>
  <c r="O58" i="282"/>
  <c r="F17" i="282" s="1"/>
  <c r="N58" i="282"/>
  <c r="F16" i="282" s="1"/>
  <c r="M58" i="282"/>
  <c r="F15" i="282" s="1"/>
  <c r="K58" i="282"/>
  <c r="F13" i="282" s="1"/>
  <c r="J58" i="282"/>
  <c r="F12" i="282" s="1"/>
  <c r="I58" i="282"/>
  <c r="F11" i="282" s="1"/>
  <c r="P70" i="282" l="1"/>
  <c r="P73" i="282"/>
  <c r="P61" i="282"/>
  <c r="P74" i="282"/>
  <c r="P66" i="282"/>
  <c r="P69" i="282"/>
  <c r="P62" i="282"/>
  <c r="P65" i="282"/>
  <c r="Q75" i="282"/>
  <c r="L70" i="282"/>
  <c r="L66" i="282"/>
  <c r="Q60" i="282"/>
  <c r="P60" i="282"/>
  <c r="L77" i="282"/>
  <c r="Q76" i="282"/>
  <c r="Q74" i="282"/>
  <c r="Q62" i="282"/>
  <c r="Q61" i="282"/>
  <c r="L65" i="282"/>
  <c r="L69" i="282"/>
  <c r="Q73" i="282"/>
  <c r="L73" i="282"/>
  <c r="Q65" i="282"/>
  <c r="Q77" i="282"/>
  <c r="L74" i="282"/>
  <c r="Q66" i="282"/>
  <c r="L75" i="282"/>
  <c r="Q69" i="282"/>
  <c r="L76" i="282"/>
  <c r="Q70" i="282"/>
  <c r="L60" i="282"/>
  <c r="L61" i="282"/>
  <c r="L62" i="282"/>
  <c r="D49" i="271" l="1"/>
  <c r="E145" i="282" s="1"/>
  <c r="D41" i="271"/>
  <c r="E137" i="282" s="1"/>
  <c r="D36" i="271"/>
  <c r="E132" i="282" s="1"/>
  <c r="D31" i="271"/>
  <c r="E127" i="282" s="1"/>
  <c r="E89" i="282" l="1"/>
  <c r="F63" i="282"/>
  <c r="E99" i="282"/>
  <c r="F71" i="282"/>
  <c r="E94" i="282"/>
  <c r="F67" i="282"/>
  <c r="E107" i="282"/>
  <c r="F78" i="282"/>
  <c r="N23" i="275"/>
  <c r="N22" i="275"/>
  <c r="J23" i="275"/>
  <c r="N57" i="288" s="1"/>
  <c r="J22" i="275"/>
  <c r="N55" i="288" s="1"/>
  <c r="G23" i="275"/>
  <c r="D57" i="288" s="1"/>
  <c r="G22" i="275"/>
  <c r="D55" i="288" s="1"/>
  <c r="K23" i="275" l="1"/>
  <c r="N58" i="288" s="1"/>
  <c r="K22" i="275"/>
  <c r="N56" i="288" s="1"/>
  <c r="E322" i="237" l="1"/>
  <c r="E328" i="237" s="1"/>
  <c r="E317" i="237"/>
  <c r="E320" i="237" s="1"/>
  <c r="E312" i="237"/>
  <c r="E315" i="237" s="1"/>
  <c r="E306" i="237"/>
  <c r="E310" i="237" s="1"/>
  <c r="E330" i="237"/>
  <c r="E388" i="237"/>
  <c r="E394" i="237" s="1"/>
  <c r="E383" i="237"/>
  <c r="E386" i="237" s="1"/>
  <c r="E378" i="237"/>
  <c r="E381" i="237" s="1"/>
  <c r="E372" i="237"/>
  <c r="E376" i="237" s="1"/>
  <c r="E396" i="237"/>
  <c r="E257" i="237"/>
  <c r="E263" i="237" s="1"/>
  <c r="E252" i="237"/>
  <c r="E255" i="237" s="1"/>
  <c r="E247" i="237"/>
  <c r="E250" i="237" s="1"/>
  <c r="E241" i="237"/>
  <c r="E245" i="237" s="1"/>
  <c r="E265" i="237"/>
  <c r="E190" i="237"/>
  <c r="E196" i="237" s="1"/>
  <c r="E185" i="237"/>
  <c r="E188" i="237" s="1"/>
  <c r="E180" i="237"/>
  <c r="E183" i="237" s="1"/>
  <c r="E174" i="237"/>
  <c r="E178" i="237" s="1"/>
  <c r="E198" i="237"/>
  <c r="D110" i="187" l="1"/>
  <c r="E127" i="237"/>
  <c r="H181" i="280"/>
  <c r="H96" i="280"/>
  <c r="H11" i="280"/>
  <c r="F85" i="278"/>
  <c r="F57" i="278"/>
  <c r="F27" i="278"/>
  <c r="D326" i="177"/>
  <c r="D327" i="177"/>
  <c r="D328" i="177"/>
  <c r="D71" i="237"/>
  <c r="E60" i="237"/>
  <c r="N103" i="282"/>
  <c r="N104" i="282"/>
  <c r="N105" i="282"/>
  <c r="N106" i="282"/>
  <c r="N98" i="282"/>
  <c r="N93" i="282"/>
  <c r="N87" i="282"/>
  <c r="N88" i="282"/>
  <c r="D355" i="177"/>
  <c r="D356" i="177"/>
  <c r="D357" i="177"/>
  <c r="D348" i="177"/>
  <c r="D349" i="177"/>
  <c r="D350" i="177"/>
  <c r="B301" i="237" l="1"/>
  <c r="C93" i="202"/>
  <c r="B235" i="237"/>
  <c r="D33" i="284" s="1"/>
  <c r="C9" i="202"/>
  <c r="C56" i="278"/>
  <c r="B94" i="280"/>
  <c r="B366" i="237"/>
  <c r="D35" i="284" s="1"/>
  <c r="C176" i="202"/>
  <c r="C26" i="278"/>
  <c r="D31" i="290" s="1"/>
  <c r="B9" i="280"/>
  <c r="C84" i="278"/>
  <c r="D17" i="284" s="1"/>
  <c r="B179" i="280"/>
  <c r="B168" i="237"/>
  <c r="C173" i="187"/>
  <c r="D211" i="237" s="1"/>
  <c r="B97" i="237"/>
  <c r="C91" i="187"/>
  <c r="B30" i="237"/>
  <c r="C9" i="187"/>
  <c r="D51" i="290"/>
  <c r="D34" i="284"/>
  <c r="D50" i="290"/>
  <c r="D31" i="284"/>
  <c r="D47" i="290"/>
  <c r="D49" i="290"/>
  <c r="D32" i="284"/>
  <c r="D48" i="290"/>
  <c r="D16" i="284"/>
  <c r="D32" i="290"/>
  <c r="D30" i="284"/>
  <c r="D46" i="290"/>
  <c r="N92" i="282"/>
  <c r="N97" i="282"/>
  <c r="N86" i="282"/>
  <c r="N102" i="282"/>
  <c r="M98" i="282"/>
  <c r="O98" i="282"/>
  <c r="M106" i="282"/>
  <c r="M88" i="282"/>
  <c r="O88" i="282"/>
  <c r="M105" i="282"/>
  <c r="M87" i="282"/>
  <c r="O87" i="282"/>
  <c r="M104" i="282"/>
  <c r="M86" i="282"/>
  <c r="M103" i="282"/>
  <c r="M93" i="282"/>
  <c r="O93" i="282"/>
  <c r="O102" i="282"/>
  <c r="M92" i="282"/>
  <c r="I98" i="282"/>
  <c r="K98" i="282"/>
  <c r="K88" i="282"/>
  <c r="K105" i="282"/>
  <c r="K87" i="282"/>
  <c r="I104" i="282"/>
  <c r="K104" i="282"/>
  <c r="I103" i="282"/>
  <c r="K103" i="282"/>
  <c r="K93" i="282"/>
  <c r="K102" i="282"/>
  <c r="I92" i="282"/>
  <c r="C252" i="187"/>
  <c r="J106" i="282"/>
  <c r="J88" i="282"/>
  <c r="J105" i="282"/>
  <c r="J87" i="282"/>
  <c r="J104" i="282"/>
  <c r="J103" i="282"/>
  <c r="J93" i="282"/>
  <c r="J98" i="282"/>
  <c r="B102" i="278"/>
  <c r="B73" i="278"/>
  <c r="B43" i="278"/>
  <c r="E34" i="278"/>
  <c r="I93" i="282"/>
  <c r="I102" i="282"/>
  <c r="I88" i="282"/>
  <c r="I105" i="282"/>
  <c r="I86" i="282"/>
  <c r="I97" i="282"/>
  <c r="I106" i="282"/>
  <c r="I87" i="282"/>
  <c r="D15" i="284" l="1"/>
  <c r="D33" i="290"/>
  <c r="C256" i="202"/>
  <c r="D409" i="237"/>
  <c r="C169" i="187"/>
  <c r="D140" i="237"/>
  <c r="D277" i="237"/>
  <c r="D342" i="237"/>
  <c r="N107" i="282"/>
  <c r="N89" i="282"/>
  <c r="N94" i="282"/>
  <c r="P98" i="282"/>
  <c r="Q87" i="282"/>
  <c r="L87" i="282"/>
  <c r="I94" i="282"/>
  <c r="O104" i="282"/>
  <c r="P104" i="282" s="1"/>
  <c r="P75" i="282"/>
  <c r="O106" i="282"/>
  <c r="P106" i="282" s="1"/>
  <c r="P77" i="282"/>
  <c r="L103" i="282"/>
  <c r="L93" i="282"/>
  <c r="Q93" i="282"/>
  <c r="P93" i="282"/>
  <c r="P87" i="282"/>
  <c r="L104" i="282"/>
  <c r="I89" i="282"/>
  <c r="L105" i="282"/>
  <c r="P76" i="282"/>
  <c r="O105" i="282"/>
  <c r="Q105" i="282" s="1"/>
  <c r="N99" i="282"/>
  <c r="I99" i="282"/>
  <c r="Q88" i="282"/>
  <c r="L88" i="282"/>
  <c r="L98" i="282"/>
  <c r="Q98" i="282"/>
  <c r="I107" i="282"/>
  <c r="M94" i="282"/>
  <c r="M89" i="282"/>
  <c r="P88" i="282"/>
  <c r="M102" i="282"/>
  <c r="M97" i="282"/>
  <c r="O97" i="282"/>
  <c r="O103" i="282"/>
  <c r="Q103" i="282" s="1"/>
  <c r="O86" i="282"/>
  <c r="O92" i="282"/>
  <c r="K92" i="282"/>
  <c r="K86" i="282"/>
  <c r="K106" i="282"/>
  <c r="K107" i="282" s="1"/>
  <c r="K97" i="282"/>
  <c r="J92" i="282"/>
  <c r="J102" i="282"/>
  <c r="J86" i="282"/>
  <c r="J97" i="282"/>
  <c r="C261" i="280"/>
  <c r="D92" i="278"/>
  <c r="C176" i="280"/>
  <c r="D64" i="278"/>
  <c r="N109" i="282" l="1"/>
  <c r="J30" i="282" s="1"/>
  <c r="K94" i="282"/>
  <c r="J89" i="282"/>
  <c r="O89" i="282"/>
  <c r="J107" i="282"/>
  <c r="O94" i="282"/>
  <c r="J94" i="282"/>
  <c r="K89" i="282"/>
  <c r="Q104" i="282"/>
  <c r="P105" i="282"/>
  <c r="P92" i="282"/>
  <c r="O107" i="282"/>
  <c r="P103" i="282"/>
  <c r="J99" i="282"/>
  <c r="M107" i="282"/>
  <c r="P102" i="282"/>
  <c r="Q102" i="282"/>
  <c r="Q92" i="282"/>
  <c r="Q97" i="282"/>
  <c r="K71" i="282" s="1"/>
  <c r="P86" i="282"/>
  <c r="L86" i="282"/>
  <c r="L92" i="282"/>
  <c r="O99" i="282"/>
  <c r="K99" i="282"/>
  <c r="L97" i="282"/>
  <c r="I109" i="282"/>
  <c r="J24" i="282" s="1"/>
  <c r="L106" i="282"/>
  <c r="Q86" i="282"/>
  <c r="Q106" i="282"/>
  <c r="M99" i="282"/>
  <c r="P97" i="282"/>
  <c r="L102" i="282"/>
  <c r="J352" i="237"/>
  <c r="J81" i="237"/>
  <c r="N24" i="282" l="1"/>
  <c r="M24" i="282"/>
  <c r="N30" i="282"/>
  <c r="M30" i="282"/>
  <c r="J92" i="237"/>
  <c r="J91" i="237"/>
  <c r="J89" i="237"/>
  <c r="J88" i="237"/>
  <c r="E30" i="284"/>
  <c r="J362" i="237"/>
  <c r="J361" i="237"/>
  <c r="J359" i="237"/>
  <c r="J358" i="237"/>
  <c r="E34" i="284"/>
  <c r="Q94" i="282"/>
  <c r="N67" i="282" s="1"/>
  <c r="K109" i="282"/>
  <c r="J26" i="282" s="1"/>
  <c r="Q89" i="282"/>
  <c r="K63" i="282" s="1"/>
  <c r="P89" i="282"/>
  <c r="P94" i="282"/>
  <c r="L94" i="282"/>
  <c r="L99" i="282"/>
  <c r="L89" i="282"/>
  <c r="J109" i="282"/>
  <c r="J25" i="282" s="1"/>
  <c r="P107" i="282"/>
  <c r="M71" i="282"/>
  <c r="O109" i="282"/>
  <c r="J31" i="282" s="1"/>
  <c r="M109" i="282"/>
  <c r="J29" i="282" s="1"/>
  <c r="Q99" i="282"/>
  <c r="L71" i="282"/>
  <c r="N71" i="282"/>
  <c r="I71" i="282"/>
  <c r="J287" i="237"/>
  <c r="O71" i="282"/>
  <c r="J71" i="282"/>
  <c r="P99" i="282"/>
  <c r="P71" i="282"/>
  <c r="L107" i="282"/>
  <c r="Q107" i="282"/>
  <c r="M78" i="282" s="1"/>
  <c r="J419" i="237"/>
  <c r="J221" i="237"/>
  <c r="J153" i="237"/>
  <c r="D84" i="177"/>
  <c r="M25" i="282" l="1"/>
  <c r="N25" i="282"/>
  <c r="N26" i="282"/>
  <c r="M26" i="282"/>
  <c r="M27" i="282" s="1"/>
  <c r="N29" i="282"/>
  <c r="M29" i="282"/>
  <c r="N31" i="282"/>
  <c r="M31" i="282"/>
  <c r="I30" i="284"/>
  <c r="F30" i="284"/>
  <c r="H30" i="284"/>
  <c r="G30" i="284"/>
  <c r="F46" i="290" s="1"/>
  <c r="G46" i="290" s="1"/>
  <c r="J294" i="237"/>
  <c r="J297" i="237"/>
  <c r="J296" i="237"/>
  <c r="J293" i="237"/>
  <c r="E33" i="284"/>
  <c r="J160" i="237"/>
  <c r="J159" i="237"/>
  <c r="J163" i="237"/>
  <c r="J162" i="237"/>
  <c r="E31" i="284"/>
  <c r="J231" i="237"/>
  <c r="J230" i="237"/>
  <c r="J228" i="237"/>
  <c r="J227" i="237"/>
  <c r="E32" i="284"/>
  <c r="J426" i="237"/>
  <c r="J425" i="237"/>
  <c r="J429" i="237"/>
  <c r="J428" i="237"/>
  <c r="E35" i="284"/>
  <c r="I34" i="284"/>
  <c r="H34" i="284"/>
  <c r="G34" i="284"/>
  <c r="F50" i="290" s="1"/>
  <c r="G50" i="290" s="1"/>
  <c r="F34" i="284"/>
  <c r="J32" i="282"/>
  <c r="J27" i="282"/>
  <c r="K67" i="282"/>
  <c r="P67" i="282"/>
  <c r="M67" i="282"/>
  <c r="J67" i="282"/>
  <c r="L67" i="282"/>
  <c r="I67" i="282"/>
  <c r="O67" i="282"/>
  <c r="P63" i="282"/>
  <c r="N63" i="282"/>
  <c r="M63" i="282"/>
  <c r="I63" i="282"/>
  <c r="J63" i="282"/>
  <c r="O63" i="282"/>
  <c r="L63" i="282"/>
  <c r="L109" i="282"/>
  <c r="P109" i="282"/>
  <c r="Q109" i="282"/>
  <c r="Q71" i="282"/>
  <c r="N78" i="282"/>
  <c r="O78" i="282"/>
  <c r="I78" i="282"/>
  <c r="K78" i="282"/>
  <c r="J78" i="282"/>
  <c r="L78" i="282"/>
  <c r="P78" i="282"/>
  <c r="J8" i="278"/>
  <c r="N55" i="275" l="1"/>
  <c r="N27" i="282"/>
  <c r="M32" i="282"/>
  <c r="M34" i="282" s="1"/>
  <c r="N32" i="282"/>
  <c r="N34" i="282" s="1"/>
  <c r="J55" i="275"/>
  <c r="G31" i="284"/>
  <c r="F47" i="290" s="1"/>
  <c r="G47" i="290" s="1"/>
  <c r="I31" i="284"/>
  <c r="F31" i="284"/>
  <c r="H31" i="284"/>
  <c r="F32" i="284"/>
  <c r="G32" i="284"/>
  <c r="F48" i="290" s="1"/>
  <c r="G48" i="290" s="1"/>
  <c r="H32" i="284"/>
  <c r="I32" i="284"/>
  <c r="H35" i="284"/>
  <c r="F35" i="284"/>
  <c r="G35" i="284"/>
  <c r="F51" i="290" s="1"/>
  <c r="G51" i="290" s="1"/>
  <c r="I35" i="284"/>
  <c r="G33" i="284"/>
  <c r="F49" i="290" s="1"/>
  <c r="G49" i="290" s="1"/>
  <c r="F33" i="284"/>
  <c r="H33" i="284"/>
  <c r="I33" i="284"/>
  <c r="E36" i="284"/>
  <c r="J34" i="282"/>
  <c r="Q67" i="282"/>
  <c r="Q63" i="282"/>
  <c r="P110" i="282"/>
  <c r="L80" i="282"/>
  <c r="P80" i="282"/>
  <c r="Q78" i="282"/>
  <c r="N80" i="282"/>
  <c r="N110" i="282"/>
  <c r="K110" i="282"/>
  <c r="J110" i="282"/>
  <c r="K80" i="282"/>
  <c r="J80" i="282"/>
  <c r="O80" i="282"/>
  <c r="O110" i="282"/>
  <c r="I80" i="282"/>
  <c r="M110" i="282"/>
  <c r="I110" i="282"/>
  <c r="M80" i="282"/>
  <c r="L110" i="282"/>
  <c r="E144" i="242"/>
  <c r="E145" i="242"/>
  <c r="E139" i="242"/>
  <c r="E140" i="242"/>
  <c r="G52" i="290" l="1"/>
  <c r="K32" i="282"/>
  <c r="J47" i="282"/>
  <c r="N47" i="282" s="1"/>
  <c r="J45" i="282"/>
  <c r="J42" i="282"/>
  <c r="N42" i="282" s="1"/>
  <c r="J41" i="282"/>
  <c r="N41" i="282" s="1"/>
  <c r="J40" i="282"/>
  <c r="J46" i="282"/>
  <c r="N46" i="282" s="1"/>
  <c r="J50" i="282"/>
  <c r="I36" i="284"/>
  <c r="G36" i="284"/>
  <c r="F52" i="290" s="1"/>
  <c r="F36" i="284"/>
  <c r="H36" i="284"/>
  <c r="K24" i="282"/>
  <c r="K30" i="282"/>
  <c r="K29" i="282"/>
  <c r="K31" i="282"/>
  <c r="K26" i="282"/>
  <c r="K25" i="282"/>
  <c r="K27" i="282"/>
  <c r="Q110" i="282"/>
  <c r="Q80" i="282"/>
  <c r="D101" i="177"/>
  <c r="D102" i="177"/>
  <c r="D103" i="177"/>
  <c r="D104" i="177"/>
  <c r="D105" i="177"/>
  <c r="D106" i="177"/>
  <c r="D107" i="177"/>
  <c r="D108" i="177"/>
  <c r="D109" i="177"/>
  <c r="D110" i="177"/>
  <c r="D111" i="177"/>
  <c r="D112" i="177"/>
  <c r="D113" i="177"/>
  <c r="D114" i="177"/>
  <c r="F51" i="275"/>
  <c r="D408" i="177" s="1"/>
  <c r="F50" i="275"/>
  <c r="D407" i="177" s="1"/>
  <c r="N38" i="275"/>
  <c r="N37" i="275"/>
  <c r="N36" i="275"/>
  <c r="N35" i="275"/>
  <c r="N34" i="275"/>
  <c r="N27" i="275"/>
  <c r="N26" i="275"/>
  <c r="N21" i="275"/>
  <c r="J38" i="275"/>
  <c r="N78" i="288" s="1"/>
  <c r="J37" i="275"/>
  <c r="N77" i="288" s="1"/>
  <c r="J36" i="275"/>
  <c r="N76" i="288" s="1"/>
  <c r="J35" i="275"/>
  <c r="N75" i="288" s="1"/>
  <c r="J34" i="275"/>
  <c r="N74" i="288" s="1"/>
  <c r="J31" i="275"/>
  <c r="N70" i="288" s="1"/>
  <c r="J27" i="275"/>
  <c r="J26" i="275"/>
  <c r="J21" i="275"/>
  <c r="N53" i="288" s="1"/>
  <c r="F41" i="275"/>
  <c r="G38" i="275"/>
  <c r="D78" i="288" s="1"/>
  <c r="G37" i="275"/>
  <c r="D77" i="288" s="1"/>
  <c r="G36" i="275"/>
  <c r="D76" i="288" s="1"/>
  <c r="G35" i="275"/>
  <c r="D75" i="288" s="1"/>
  <c r="G34" i="275"/>
  <c r="D74" i="288" s="1"/>
  <c r="F33" i="275"/>
  <c r="C73" i="288" s="1"/>
  <c r="G31" i="275"/>
  <c r="D70" i="288" s="1"/>
  <c r="G30" i="275"/>
  <c r="D69" i="288" s="1"/>
  <c r="F29" i="275"/>
  <c r="C68" i="288" s="1"/>
  <c r="G27" i="275"/>
  <c r="D64" i="288" s="1"/>
  <c r="G26" i="275"/>
  <c r="D62" i="288" s="1"/>
  <c r="F25" i="275"/>
  <c r="C61" i="288" s="1"/>
  <c r="G21" i="275"/>
  <c r="D53" i="288" s="1"/>
  <c r="F20" i="275"/>
  <c r="C52" i="288" s="1"/>
  <c r="K131" i="188"/>
  <c r="L131" i="188" s="1"/>
  <c r="K132" i="188"/>
  <c r="L132" i="188" s="1"/>
  <c r="K133" i="188"/>
  <c r="L133" i="188" s="1"/>
  <c r="K134" i="188"/>
  <c r="M134" i="188" s="1"/>
  <c r="K135" i="188"/>
  <c r="L135" i="188" s="1"/>
  <c r="K136" i="188"/>
  <c r="M136" i="188" s="1"/>
  <c r="K78" i="188"/>
  <c r="L78" i="188" s="1"/>
  <c r="K79" i="188"/>
  <c r="M79" i="188" s="1"/>
  <c r="K80" i="188"/>
  <c r="L80" i="188" s="1"/>
  <c r="K81" i="188"/>
  <c r="L81" i="188" s="1"/>
  <c r="K82" i="188"/>
  <c r="L82" i="188" s="1"/>
  <c r="K83" i="188"/>
  <c r="L83" i="188" s="1"/>
  <c r="M165" i="188"/>
  <c r="M166" i="188"/>
  <c r="M167" i="188"/>
  <c r="M168" i="188"/>
  <c r="M169" i="188"/>
  <c r="M170" i="188"/>
  <c r="M171" i="188"/>
  <c r="L165" i="188"/>
  <c r="L166" i="188"/>
  <c r="L167" i="188"/>
  <c r="L168" i="188"/>
  <c r="L169" i="188"/>
  <c r="L170" i="188"/>
  <c r="L171" i="188"/>
  <c r="I165" i="188"/>
  <c r="I166" i="188"/>
  <c r="I167" i="188"/>
  <c r="I168" i="188"/>
  <c r="I169" i="188"/>
  <c r="I170" i="188"/>
  <c r="I171" i="188"/>
  <c r="J161" i="188"/>
  <c r="M151" i="188"/>
  <c r="M152" i="188"/>
  <c r="M153" i="188"/>
  <c r="M154" i="188"/>
  <c r="M155" i="188"/>
  <c r="M156" i="188"/>
  <c r="M157" i="188"/>
  <c r="M158" i="188"/>
  <c r="M159" i="188"/>
  <c r="M160" i="188"/>
  <c r="L151" i="188"/>
  <c r="L152" i="188"/>
  <c r="L153" i="188"/>
  <c r="L154" i="188"/>
  <c r="L155" i="188"/>
  <c r="L156" i="188"/>
  <c r="L157" i="188"/>
  <c r="L158" i="188"/>
  <c r="L159" i="188"/>
  <c r="L160" i="188"/>
  <c r="I151" i="188"/>
  <c r="I152" i="188"/>
  <c r="I153" i="188"/>
  <c r="I154" i="188"/>
  <c r="I155" i="188"/>
  <c r="I156" i="188"/>
  <c r="I157" i="188"/>
  <c r="I158" i="188"/>
  <c r="I159" i="188"/>
  <c r="I160" i="188"/>
  <c r="M141" i="188"/>
  <c r="M142" i="188"/>
  <c r="M143" i="188"/>
  <c r="M144" i="188"/>
  <c r="M145" i="188"/>
  <c r="M146" i="188"/>
  <c r="L141" i="188"/>
  <c r="L142" i="188"/>
  <c r="L143" i="188"/>
  <c r="L144" i="188"/>
  <c r="L145" i="188"/>
  <c r="L146" i="188"/>
  <c r="M112" i="188"/>
  <c r="M113" i="188"/>
  <c r="M114" i="188"/>
  <c r="M115" i="188"/>
  <c r="M116" i="188"/>
  <c r="M117" i="188"/>
  <c r="M118" i="188"/>
  <c r="L112" i="188"/>
  <c r="L113" i="188"/>
  <c r="L114" i="188"/>
  <c r="L115" i="188"/>
  <c r="L116" i="188"/>
  <c r="L117" i="188"/>
  <c r="L118" i="188"/>
  <c r="I112" i="188"/>
  <c r="I113" i="188"/>
  <c r="I114" i="188"/>
  <c r="I115" i="188"/>
  <c r="I116" i="188"/>
  <c r="I117" i="188"/>
  <c r="I118" i="188"/>
  <c r="J108" i="188"/>
  <c r="M98" i="188"/>
  <c r="M99" i="188"/>
  <c r="M100" i="188"/>
  <c r="M101" i="188"/>
  <c r="M102" i="188"/>
  <c r="M103" i="188"/>
  <c r="M104" i="188"/>
  <c r="M105" i="188"/>
  <c r="M106" i="188"/>
  <c r="M107" i="188"/>
  <c r="L98" i="188"/>
  <c r="L99" i="188"/>
  <c r="L100" i="188"/>
  <c r="L101" i="188"/>
  <c r="L102" i="188"/>
  <c r="L103" i="188"/>
  <c r="L104" i="188"/>
  <c r="L105" i="188"/>
  <c r="L106" i="188"/>
  <c r="L107" i="188"/>
  <c r="I98" i="188"/>
  <c r="I99" i="188"/>
  <c r="I100" i="188"/>
  <c r="I101" i="188"/>
  <c r="I102" i="188"/>
  <c r="I103" i="188"/>
  <c r="I104" i="188"/>
  <c r="I105" i="188"/>
  <c r="I106" i="188"/>
  <c r="I107" i="188"/>
  <c r="M88" i="188"/>
  <c r="M89" i="188"/>
  <c r="M90" i="188"/>
  <c r="M91" i="188"/>
  <c r="M92" i="188"/>
  <c r="M93" i="188"/>
  <c r="L88" i="188"/>
  <c r="L89" i="188"/>
  <c r="L90" i="188"/>
  <c r="L91" i="188"/>
  <c r="L92" i="188"/>
  <c r="L93" i="188"/>
  <c r="M58" i="188"/>
  <c r="M59" i="188"/>
  <c r="M60" i="188"/>
  <c r="M61" i="188"/>
  <c r="M62" i="188"/>
  <c r="M63" i="188"/>
  <c r="M64" i="188"/>
  <c r="M65" i="188"/>
  <c r="M66" i="188"/>
  <c r="L58" i="188"/>
  <c r="L59" i="188"/>
  <c r="L60" i="188"/>
  <c r="L61" i="188"/>
  <c r="L62" i="188"/>
  <c r="L63" i="188"/>
  <c r="L64" i="188"/>
  <c r="L65" i="188"/>
  <c r="L66" i="188"/>
  <c r="I58" i="188"/>
  <c r="I59" i="188"/>
  <c r="I60" i="188"/>
  <c r="I61" i="188"/>
  <c r="I62" i="188"/>
  <c r="I63" i="188"/>
  <c r="I64" i="188"/>
  <c r="I65" i="188"/>
  <c r="I66" i="188"/>
  <c r="M44" i="188"/>
  <c r="M45" i="188"/>
  <c r="M46" i="188"/>
  <c r="M47" i="188"/>
  <c r="M48" i="188"/>
  <c r="M49" i="188"/>
  <c r="M50" i="188"/>
  <c r="M51" i="188"/>
  <c r="M52" i="188"/>
  <c r="M53" i="188"/>
  <c r="L44" i="188"/>
  <c r="L45" i="188"/>
  <c r="L46" i="188"/>
  <c r="L47" i="188"/>
  <c r="L48" i="188"/>
  <c r="L49" i="188"/>
  <c r="L50" i="188"/>
  <c r="L51" i="188"/>
  <c r="L52" i="188"/>
  <c r="L53" i="188"/>
  <c r="I44" i="188"/>
  <c r="I45" i="188"/>
  <c r="I46" i="188"/>
  <c r="I47" i="188"/>
  <c r="I48" i="188"/>
  <c r="I49" i="188"/>
  <c r="I50" i="188"/>
  <c r="I51" i="188"/>
  <c r="I52" i="188"/>
  <c r="I53" i="188"/>
  <c r="M35" i="188"/>
  <c r="M36" i="188"/>
  <c r="M37" i="188"/>
  <c r="M38" i="188"/>
  <c r="M39" i="188"/>
  <c r="L35" i="188"/>
  <c r="L36" i="188"/>
  <c r="L37" i="188"/>
  <c r="L38" i="188"/>
  <c r="L39" i="188"/>
  <c r="D341" i="177"/>
  <c r="C9" i="188" s="1"/>
  <c r="D342" i="177"/>
  <c r="D343" i="177"/>
  <c r="J8" i="273"/>
  <c r="G39" i="275"/>
  <c r="D79" i="288" s="1"/>
  <c r="G32" i="275"/>
  <c r="D71" i="288" s="1"/>
  <c r="G28" i="275"/>
  <c r="D66" i="288" s="1"/>
  <c r="G24" i="275"/>
  <c r="D59" i="288" s="1"/>
  <c r="C21" i="2"/>
  <c r="C20" i="2"/>
  <c r="C19" i="2"/>
  <c r="C18" i="2"/>
  <c r="K17" i="2"/>
  <c r="M17" i="2" s="1"/>
  <c r="C17" i="2"/>
  <c r="C16" i="2"/>
  <c r="C15" i="2"/>
  <c r="C124" i="188" l="1"/>
  <c r="D85" i="273" s="1"/>
  <c r="AC62" i="288"/>
  <c r="N62" i="288"/>
  <c r="J7" i="275"/>
  <c r="N64" i="288"/>
  <c r="K34" i="282"/>
  <c r="N40" i="282"/>
  <c r="N43" i="282" s="1"/>
  <c r="J43" i="282"/>
  <c r="N45" i="282"/>
  <c r="N48" i="282" s="1"/>
  <c r="J48" i="282"/>
  <c r="J54" i="275"/>
  <c r="C69" i="188"/>
  <c r="D31" i="273"/>
  <c r="K35" i="275"/>
  <c r="K27" i="275"/>
  <c r="N65" i="288" s="1"/>
  <c r="K36" i="275"/>
  <c r="K31" i="275"/>
  <c r="K21" i="275"/>
  <c r="K37" i="275"/>
  <c r="K30" i="275"/>
  <c r="K34" i="275"/>
  <c r="K26" i="275"/>
  <c r="K38" i="275"/>
  <c r="M132" i="188"/>
  <c r="M131" i="188"/>
  <c r="M133" i="188"/>
  <c r="C23" i="273"/>
  <c r="C50" i="273"/>
  <c r="M135" i="188"/>
  <c r="C77" i="273"/>
  <c r="M78" i="188"/>
  <c r="M83" i="188"/>
  <c r="L134" i="188"/>
  <c r="L136" i="188"/>
  <c r="M80" i="188"/>
  <c r="M81" i="188"/>
  <c r="M82" i="188"/>
  <c r="K137" i="188"/>
  <c r="K84" i="188"/>
  <c r="L79" i="188"/>
  <c r="I172" i="188"/>
  <c r="I108" i="188"/>
  <c r="I119" i="188"/>
  <c r="I161" i="188"/>
  <c r="C174" i="188" l="1"/>
  <c r="D27" i="284"/>
  <c r="D43" i="290"/>
  <c r="AC63" i="288"/>
  <c r="N63" i="288"/>
  <c r="D25" i="284"/>
  <c r="D41" i="290"/>
  <c r="D26" i="284"/>
  <c r="D42" i="290"/>
  <c r="K24" i="275"/>
  <c r="N54" i="288"/>
  <c r="N50" i="282"/>
  <c r="N51" i="282" s="1"/>
  <c r="K28" i="275"/>
  <c r="K32" i="275"/>
  <c r="N72" i="288" s="1"/>
  <c r="K39" i="275"/>
  <c r="N80" i="288" s="1"/>
  <c r="M137" i="188"/>
  <c r="M84" i="188"/>
  <c r="AC67" i="288" l="1"/>
  <c r="N67" i="288"/>
  <c r="N60" i="288"/>
  <c r="AC60" i="288"/>
  <c r="N52" i="282"/>
  <c r="K41" i="275"/>
  <c r="D13" i="274" s="1"/>
  <c r="D378" i="177" l="1"/>
  <c r="C9" i="203" s="1"/>
  <c r="D379" i="177"/>
  <c r="C75" i="203" s="1"/>
  <c r="D380" i="177"/>
  <c r="C141" i="203" s="1"/>
  <c r="K130" i="195"/>
  <c r="L130" i="195" s="1"/>
  <c r="K131" i="195"/>
  <c r="L131" i="195" s="1"/>
  <c r="K132" i="195"/>
  <c r="M132" i="195" s="1"/>
  <c r="K133" i="195"/>
  <c r="M133" i="195" s="1"/>
  <c r="K134" i="195"/>
  <c r="L134" i="195" s="1"/>
  <c r="K135" i="195"/>
  <c r="L135" i="195" s="1"/>
  <c r="K77" i="195"/>
  <c r="L77" i="195" s="1"/>
  <c r="K78" i="195"/>
  <c r="M78" i="195" s="1"/>
  <c r="K79" i="195"/>
  <c r="M79" i="195" s="1"/>
  <c r="K80" i="195"/>
  <c r="L80" i="195" s="1"/>
  <c r="K81" i="195"/>
  <c r="M81" i="195" s="1"/>
  <c r="K82" i="195"/>
  <c r="L82" i="195" s="1"/>
  <c r="M164" i="195"/>
  <c r="M165" i="195"/>
  <c r="M166" i="195"/>
  <c r="M167" i="195"/>
  <c r="M168" i="195"/>
  <c r="M169" i="195"/>
  <c r="M170" i="195"/>
  <c r="L164" i="195"/>
  <c r="L165" i="195"/>
  <c r="L166" i="195"/>
  <c r="L167" i="195"/>
  <c r="L168" i="195"/>
  <c r="L169" i="195"/>
  <c r="L170" i="195"/>
  <c r="I164" i="195"/>
  <c r="I165" i="195"/>
  <c r="I166" i="195"/>
  <c r="I167" i="195"/>
  <c r="I168" i="195"/>
  <c r="I169" i="195"/>
  <c r="I170" i="195"/>
  <c r="J160" i="195"/>
  <c r="M150" i="195"/>
  <c r="M151" i="195"/>
  <c r="M152" i="195"/>
  <c r="M153" i="195"/>
  <c r="M154" i="195"/>
  <c r="M155" i="195"/>
  <c r="M156" i="195"/>
  <c r="M157" i="195"/>
  <c r="M158" i="195"/>
  <c r="M159" i="195"/>
  <c r="L150" i="195"/>
  <c r="L151" i="195"/>
  <c r="L152" i="195"/>
  <c r="L153" i="195"/>
  <c r="L154" i="195"/>
  <c r="L155" i="195"/>
  <c r="L156" i="195"/>
  <c r="L157" i="195"/>
  <c r="L158" i="195"/>
  <c r="L159" i="195"/>
  <c r="I150" i="195"/>
  <c r="I151" i="195"/>
  <c r="I152" i="195"/>
  <c r="I153" i="195"/>
  <c r="I154" i="195"/>
  <c r="I155" i="195"/>
  <c r="I156" i="195"/>
  <c r="I157" i="195"/>
  <c r="I158" i="195"/>
  <c r="I159" i="195"/>
  <c r="M140" i="195"/>
  <c r="M141" i="195"/>
  <c r="M142" i="195"/>
  <c r="M143" i="195"/>
  <c r="M144" i="195"/>
  <c r="M145" i="195"/>
  <c r="L140" i="195"/>
  <c r="L141" i="195"/>
  <c r="L142" i="195"/>
  <c r="L143" i="195"/>
  <c r="L144" i="195"/>
  <c r="L145" i="195"/>
  <c r="M111" i="195"/>
  <c r="M112" i="195"/>
  <c r="M113" i="195"/>
  <c r="M114" i="195"/>
  <c r="M115" i="195"/>
  <c r="M116" i="195"/>
  <c r="M117" i="195"/>
  <c r="L111" i="195"/>
  <c r="L112" i="195"/>
  <c r="L113" i="195"/>
  <c r="L114" i="195"/>
  <c r="L115" i="195"/>
  <c r="L116" i="195"/>
  <c r="L117" i="195"/>
  <c r="I111" i="195"/>
  <c r="I112" i="195"/>
  <c r="I113" i="195"/>
  <c r="I114" i="195"/>
  <c r="I115" i="195"/>
  <c r="I116" i="195"/>
  <c r="I117" i="195"/>
  <c r="J107" i="195"/>
  <c r="M97" i="195"/>
  <c r="M98" i="195"/>
  <c r="M99" i="195"/>
  <c r="M100" i="195"/>
  <c r="M101" i="195"/>
  <c r="M102" i="195"/>
  <c r="M103" i="195"/>
  <c r="M104" i="195"/>
  <c r="M105" i="195"/>
  <c r="M106" i="195"/>
  <c r="L97" i="195"/>
  <c r="L98" i="195"/>
  <c r="L99" i="195"/>
  <c r="L100" i="195"/>
  <c r="L101" i="195"/>
  <c r="L102" i="195"/>
  <c r="L103" i="195"/>
  <c r="L104" i="195"/>
  <c r="L105" i="195"/>
  <c r="L106" i="195"/>
  <c r="I97" i="195"/>
  <c r="I98" i="195"/>
  <c r="I99" i="195"/>
  <c r="I100" i="195"/>
  <c r="I101" i="195"/>
  <c r="I102" i="195"/>
  <c r="I103" i="195"/>
  <c r="I104" i="195"/>
  <c r="I105" i="195"/>
  <c r="I106" i="195"/>
  <c r="M87" i="195"/>
  <c r="M88" i="195"/>
  <c r="M89" i="195"/>
  <c r="M90" i="195"/>
  <c r="M91" i="195"/>
  <c r="M92" i="195"/>
  <c r="L87" i="195"/>
  <c r="L88" i="195"/>
  <c r="L89" i="195"/>
  <c r="L90" i="195"/>
  <c r="L91" i="195"/>
  <c r="L92" i="195"/>
  <c r="M57" i="195"/>
  <c r="M58" i="195"/>
  <c r="M59" i="195"/>
  <c r="M60" i="195"/>
  <c r="M61" i="195"/>
  <c r="M62" i="195"/>
  <c r="M63" i="195"/>
  <c r="M64" i="195"/>
  <c r="M65" i="195"/>
  <c r="L57" i="195"/>
  <c r="L58" i="195"/>
  <c r="L59" i="195"/>
  <c r="L60" i="195"/>
  <c r="L61" i="195"/>
  <c r="L62" i="195"/>
  <c r="L63" i="195"/>
  <c r="L64" i="195"/>
  <c r="L65" i="195"/>
  <c r="I57" i="195"/>
  <c r="I58" i="195"/>
  <c r="I59" i="195"/>
  <c r="I60" i="195"/>
  <c r="I61" i="195"/>
  <c r="I62" i="195"/>
  <c r="I63" i="195"/>
  <c r="I64" i="195"/>
  <c r="I65" i="195"/>
  <c r="M43" i="195"/>
  <c r="M44" i="195"/>
  <c r="M45" i="195"/>
  <c r="M46" i="195"/>
  <c r="M47" i="195"/>
  <c r="M48" i="195"/>
  <c r="M49" i="195"/>
  <c r="M50" i="195"/>
  <c r="M51" i="195"/>
  <c r="M52" i="195"/>
  <c r="L43" i="195"/>
  <c r="L44" i="195"/>
  <c r="L45" i="195"/>
  <c r="L46" i="195"/>
  <c r="L47" i="195"/>
  <c r="L48" i="195"/>
  <c r="L49" i="195"/>
  <c r="L50" i="195"/>
  <c r="L51" i="195"/>
  <c r="L52" i="195"/>
  <c r="I43" i="195"/>
  <c r="I44" i="195"/>
  <c r="I45" i="195"/>
  <c r="I46" i="195"/>
  <c r="I47" i="195"/>
  <c r="I48" i="195"/>
  <c r="I49" i="195"/>
  <c r="I50" i="195"/>
  <c r="I51" i="195"/>
  <c r="I52" i="195"/>
  <c r="M34" i="195"/>
  <c r="M35" i="195"/>
  <c r="M36" i="195"/>
  <c r="M37" i="195"/>
  <c r="M38" i="195"/>
  <c r="L34" i="195"/>
  <c r="L35" i="195"/>
  <c r="L36" i="195"/>
  <c r="L37" i="195"/>
  <c r="L38" i="195"/>
  <c r="D371" i="177"/>
  <c r="D372" i="177"/>
  <c r="D373" i="177"/>
  <c r="K126" i="184"/>
  <c r="K127" i="184"/>
  <c r="K128" i="184"/>
  <c r="K129" i="184"/>
  <c r="K130" i="184"/>
  <c r="K131" i="184"/>
  <c r="K75" i="184"/>
  <c r="L75" i="184" s="1"/>
  <c r="K76" i="184"/>
  <c r="M76" i="184" s="1"/>
  <c r="K77" i="184"/>
  <c r="L77" i="184" s="1"/>
  <c r="K78" i="184"/>
  <c r="L78" i="184" s="1"/>
  <c r="K79" i="184"/>
  <c r="L79" i="184" s="1"/>
  <c r="K80" i="184"/>
  <c r="L80" i="184" s="1"/>
  <c r="M160" i="184"/>
  <c r="M161" i="184"/>
  <c r="M162" i="184"/>
  <c r="M163" i="184"/>
  <c r="M164" i="184"/>
  <c r="M165" i="184"/>
  <c r="M166" i="184"/>
  <c r="L160" i="184"/>
  <c r="L161" i="184"/>
  <c r="L162" i="184"/>
  <c r="L163" i="184"/>
  <c r="L164" i="184"/>
  <c r="L165" i="184"/>
  <c r="L166" i="184"/>
  <c r="I160" i="184"/>
  <c r="I161" i="184"/>
  <c r="I162" i="184"/>
  <c r="I163" i="184"/>
  <c r="I164" i="184"/>
  <c r="I165" i="184"/>
  <c r="I166" i="184"/>
  <c r="J156" i="184"/>
  <c r="M146" i="184"/>
  <c r="M147" i="184"/>
  <c r="M148" i="184"/>
  <c r="M149" i="184"/>
  <c r="M150" i="184"/>
  <c r="M151" i="184"/>
  <c r="M152" i="184"/>
  <c r="M153" i="184"/>
  <c r="M154" i="184"/>
  <c r="M155" i="184"/>
  <c r="L146" i="184"/>
  <c r="L147" i="184"/>
  <c r="L148" i="184"/>
  <c r="L149" i="184"/>
  <c r="L150" i="184"/>
  <c r="L151" i="184"/>
  <c r="L152" i="184"/>
  <c r="L153" i="184"/>
  <c r="L154" i="184"/>
  <c r="L155" i="184"/>
  <c r="I146" i="184"/>
  <c r="I147" i="184"/>
  <c r="I148" i="184"/>
  <c r="I149" i="184"/>
  <c r="I150" i="184"/>
  <c r="I151" i="184"/>
  <c r="I152" i="184"/>
  <c r="I153" i="184"/>
  <c r="I154" i="184"/>
  <c r="I155" i="184"/>
  <c r="M136" i="184"/>
  <c r="M137" i="184"/>
  <c r="M138" i="184"/>
  <c r="M139" i="184"/>
  <c r="M140" i="184"/>
  <c r="M141" i="184"/>
  <c r="L136" i="184"/>
  <c r="L137" i="184"/>
  <c r="L138" i="184"/>
  <c r="L139" i="184"/>
  <c r="L140" i="184"/>
  <c r="L141" i="184"/>
  <c r="M109" i="184"/>
  <c r="M110" i="184"/>
  <c r="M111" i="184"/>
  <c r="M112" i="184"/>
  <c r="M113" i="184"/>
  <c r="M114" i="184"/>
  <c r="M115" i="184"/>
  <c r="L109" i="184"/>
  <c r="L110" i="184"/>
  <c r="L111" i="184"/>
  <c r="L112" i="184"/>
  <c r="L113" i="184"/>
  <c r="L114" i="184"/>
  <c r="L115" i="184"/>
  <c r="I109" i="184"/>
  <c r="I110" i="184"/>
  <c r="I111" i="184"/>
  <c r="I112" i="184"/>
  <c r="I113" i="184"/>
  <c r="I114" i="184"/>
  <c r="I115" i="184"/>
  <c r="J105" i="184"/>
  <c r="M95" i="184"/>
  <c r="M96" i="184"/>
  <c r="M97" i="184"/>
  <c r="M98" i="184"/>
  <c r="M99" i="184"/>
  <c r="M100" i="184"/>
  <c r="M101" i="184"/>
  <c r="M102" i="184"/>
  <c r="M103" i="184"/>
  <c r="M104" i="184"/>
  <c r="L95" i="184"/>
  <c r="L96" i="184"/>
  <c r="L97" i="184"/>
  <c r="L98" i="184"/>
  <c r="L99" i="184"/>
  <c r="L100" i="184"/>
  <c r="L101" i="184"/>
  <c r="L102" i="184"/>
  <c r="L103" i="184"/>
  <c r="L104" i="184"/>
  <c r="I95" i="184"/>
  <c r="I96" i="184"/>
  <c r="I97" i="184"/>
  <c r="I98" i="184"/>
  <c r="I99" i="184"/>
  <c r="I100" i="184"/>
  <c r="I101" i="184"/>
  <c r="I102" i="184"/>
  <c r="I103" i="184"/>
  <c r="I104" i="184"/>
  <c r="M85" i="184"/>
  <c r="M86" i="184"/>
  <c r="M87" i="184"/>
  <c r="M88" i="184"/>
  <c r="M89" i="184"/>
  <c r="M90" i="184"/>
  <c r="L85" i="184"/>
  <c r="L86" i="184"/>
  <c r="L87" i="184"/>
  <c r="L88" i="184"/>
  <c r="L89" i="184"/>
  <c r="L90" i="184"/>
  <c r="M55" i="184"/>
  <c r="M56" i="184"/>
  <c r="M57" i="184"/>
  <c r="M58" i="184"/>
  <c r="M59" i="184"/>
  <c r="M60" i="184"/>
  <c r="M61" i="184"/>
  <c r="M62" i="184"/>
  <c r="M63" i="184"/>
  <c r="L55" i="184"/>
  <c r="L56" i="184"/>
  <c r="L57" i="184"/>
  <c r="L58" i="184"/>
  <c r="L59" i="184"/>
  <c r="L60" i="184"/>
  <c r="L61" i="184"/>
  <c r="L62" i="184"/>
  <c r="L63" i="184"/>
  <c r="I55" i="184"/>
  <c r="I56" i="184"/>
  <c r="I57" i="184"/>
  <c r="I58" i="184"/>
  <c r="I59" i="184"/>
  <c r="I60" i="184"/>
  <c r="I61" i="184"/>
  <c r="I62" i="184"/>
  <c r="I63" i="184"/>
  <c r="M41" i="184"/>
  <c r="M42" i="184"/>
  <c r="M43" i="184"/>
  <c r="M44" i="184"/>
  <c r="M45" i="184"/>
  <c r="M46" i="184"/>
  <c r="M47" i="184"/>
  <c r="M48" i="184"/>
  <c r="M49" i="184"/>
  <c r="M50" i="184"/>
  <c r="L41" i="184"/>
  <c r="L42" i="184"/>
  <c r="L43" i="184"/>
  <c r="L44" i="184"/>
  <c r="L45" i="184"/>
  <c r="L46" i="184"/>
  <c r="L47" i="184"/>
  <c r="L48" i="184"/>
  <c r="L49" i="184"/>
  <c r="L50" i="184"/>
  <c r="I41" i="184"/>
  <c r="I42" i="184"/>
  <c r="I43" i="184"/>
  <c r="I44" i="184"/>
  <c r="I45" i="184"/>
  <c r="I46" i="184"/>
  <c r="I47" i="184"/>
  <c r="I48" i="184"/>
  <c r="I49" i="184"/>
  <c r="I50" i="184"/>
  <c r="M32" i="184"/>
  <c r="M33" i="184"/>
  <c r="M34" i="184"/>
  <c r="M35" i="184"/>
  <c r="M36" i="184"/>
  <c r="L32" i="184"/>
  <c r="L33" i="184"/>
  <c r="L34" i="184"/>
  <c r="L35" i="184"/>
  <c r="L36" i="184"/>
  <c r="D334" i="177"/>
  <c r="D335" i="177"/>
  <c r="D336" i="177"/>
  <c r="J8" i="272"/>
  <c r="C23" i="247" l="1"/>
  <c r="D54" i="290" s="1"/>
  <c r="C9" i="195"/>
  <c r="D31" i="247" s="1"/>
  <c r="C50" i="247"/>
  <c r="D55" i="290" s="1"/>
  <c r="C71" i="195"/>
  <c r="D58" i="247" s="1"/>
  <c r="C77" i="247"/>
  <c r="C123" i="195"/>
  <c r="D85" i="247" s="1"/>
  <c r="D40" i="284"/>
  <c r="D56" i="290"/>
  <c r="D39" i="284"/>
  <c r="D38" i="284"/>
  <c r="C83" i="249"/>
  <c r="C204" i="203"/>
  <c r="C56" i="249"/>
  <c r="D60" i="290" s="1"/>
  <c r="C138" i="203"/>
  <c r="D64" i="249"/>
  <c r="C72" i="203"/>
  <c r="B120" i="184"/>
  <c r="B69" i="184"/>
  <c r="C23" i="272"/>
  <c r="C29" i="249"/>
  <c r="D59" i="290" s="1"/>
  <c r="D37" i="249"/>
  <c r="M134" i="195"/>
  <c r="M131" i="195"/>
  <c r="M130" i="195"/>
  <c r="M135" i="195"/>
  <c r="L133" i="195"/>
  <c r="L132" i="195"/>
  <c r="L81" i="195"/>
  <c r="K136" i="195"/>
  <c r="C173" i="195"/>
  <c r="L78" i="195"/>
  <c r="L79" i="195"/>
  <c r="M77" i="195"/>
  <c r="M82" i="195"/>
  <c r="M80" i="195"/>
  <c r="C120" i="195"/>
  <c r="I107" i="195"/>
  <c r="I171" i="195"/>
  <c r="I118" i="195"/>
  <c r="I160" i="195"/>
  <c r="M131" i="184"/>
  <c r="M126" i="184"/>
  <c r="M127" i="184"/>
  <c r="M128" i="184"/>
  <c r="M129" i="184"/>
  <c r="M130" i="184"/>
  <c r="L128" i="184"/>
  <c r="L131" i="184"/>
  <c r="L126" i="184"/>
  <c r="L127" i="184"/>
  <c r="L129" i="184"/>
  <c r="L130" i="184"/>
  <c r="C77" i="272"/>
  <c r="M78" i="184"/>
  <c r="M75" i="184"/>
  <c r="M79" i="184"/>
  <c r="L76" i="184"/>
  <c r="M77" i="184"/>
  <c r="C50" i="272"/>
  <c r="M80" i="184"/>
  <c r="K81" i="184"/>
  <c r="I116" i="184"/>
  <c r="I167" i="184"/>
  <c r="I156" i="184"/>
  <c r="I105" i="184"/>
  <c r="B7" i="184"/>
  <c r="C90" i="202"/>
  <c r="D20" i="284" l="1"/>
  <c r="D36" i="290"/>
  <c r="D21" i="284"/>
  <c r="D37" i="290"/>
  <c r="D22" i="284"/>
  <c r="D38" i="290"/>
  <c r="D45" i="284"/>
  <c r="D61" i="290"/>
  <c r="B46" i="249"/>
  <c r="D43" i="284"/>
  <c r="B73" i="249"/>
  <c r="D44" i="284"/>
  <c r="D91" i="249"/>
  <c r="B100" i="249"/>
  <c r="B94" i="272"/>
  <c r="B67" i="272"/>
  <c r="B67" i="247"/>
  <c r="B94" i="247"/>
  <c r="B40" i="247"/>
  <c r="B40" i="272"/>
  <c r="B40" i="273"/>
  <c r="B67" i="273"/>
  <c r="B94" i="273"/>
  <c r="D58" i="272"/>
  <c r="D85" i="272"/>
  <c r="M136" i="195"/>
  <c r="M132" i="184"/>
  <c r="C173" i="202"/>
  <c r="C88" i="187"/>
  <c r="B180" i="182" l="1"/>
  <c r="C262" i="182" s="1"/>
  <c r="B95" i="182"/>
  <c r="C80" i="235"/>
  <c r="D28" i="290" s="1"/>
  <c r="C52" i="235"/>
  <c r="D27" i="290" s="1"/>
  <c r="N50" i="275"/>
  <c r="J50" i="275"/>
  <c r="R227" i="179"/>
  <c r="R226" i="179"/>
  <c r="R225" i="179"/>
  <c r="R224" i="179"/>
  <c r="M239" i="203" s="1"/>
  <c r="R223" i="179"/>
  <c r="Q227" i="179"/>
  <c r="Q226" i="179"/>
  <c r="Q225" i="179"/>
  <c r="Q224" i="179"/>
  <c r="L239" i="203" s="1"/>
  <c r="Q223" i="179"/>
  <c r="P227" i="179"/>
  <c r="P226" i="179"/>
  <c r="P225" i="179"/>
  <c r="P224" i="179"/>
  <c r="K239" i="203" s="1"/>
  <c r="P223" i="179"/>
  <c r="O227" i="179"/>
  <c r="O226" i="179"/>
  <c r="O225" i="179"/>
  <c r="O224" i="179"/>
  <c r="J239" i="203" s="1"/>
  <c r="O223" i="179"/>
  <c r="M222" i="179"/>
  <c r="L222" i="179"/>
  <c r="N204" i="179"/>
  <c r="M204" i="179"/>
  <c r="S215" i="179"/>
  <c r="S214" i="179"/>
  <c r="S213" i="179"/>
  <c r="S212" i="179"/>
  <c r="S211" i="179"/>
  <c r="S210" i="179"/>
  <c r="G287" i="242" s="1"/>
  <c r="S209" i="179"/>
  <c r="S208" i="179"/>
  <c r="S207" i="179"/>
  <c r="S206" i="179"/>
  <c r="G85" i="242" s="1"/>
  <c r="J85" i="242" s="1"/>
  <c r="S205" i="179"/>
  <c r="R215" i="179"/>
  <c r="R214" i="179"/>
  <c r="R213" i="179"/>
  <c r="R212" i="179"/>
  <c r="R211" i="179"/>
  <c r="R210" i="179"/>
  <c r="G279" i="242" s="1"/>
  <c r="R209" i="179"/>
  <c r="R208" i="179"/>
  <c r="R207" i="179"/>
  <c r="R206" i="179"/>
  <c r="G77" i="242" s="1"/>
  <c r="J77" i="242" s="1"/>
  <c r="R205" i="179"/>
  <c r="Q215" i="179"/>
  <c r="Q214" i="179"/>
  <c r="Q213" i="179"/>
  <c r="Q212" i="179"/>
  <c r="Q211" i="179"/>
  <c r="Q210" i="179"/>
  <c r="Q209" i="179"/>
  <c r="Q208" i="179"/>
  <c r="Q207" i="179"/>
  <c r="Q206" i="179"/>
  <c r="Q205" i="179"/>
  <c r="P215" i="179"/>
  <c r="P214" i="179"/>
  <c r="P213" i="179"/>
  <c r="P212" i="179"/>
  <c r="P211" i="179"/>
  <c r="P210" i="179"/>
  <c r="P209" i="179"/>
  <c r="P208" i="179"/>
  <c r="P207" i="179"/>
  <c r="P206" i="179"/>
  <c r="P205" i="179"/>
  <c r="R197" i="179"/>
  <c r="R196" i="179"/>
  <c r="R195" i="179"/>
  <c r="R194" i="179"/>
  <c r="R193" i="179"/>
  <c r="R192" i="179"/>
  <c r="M226" i="203" s="1"/>
  <c r="R191" i="179"/>
  <c r="Q197" i="179"/>
  <c r="Q196" i="179"/>
  <c r="Q195" i="179"/>
  <c r="Q194" i="179"/>
  <c r="Q193" i="179"/>
  <c r="Q192" i="179"/>
  <c r="L226" i="203" s="1"/>
  <c r="Q191" i="179"/>
  <c r="P197" i="179"/>
  <c r="P196" i="179"/>
  <c r="P195" i="179"/>
  <c r="P194" i="179"/>
  <c r="P193" i="179"/>
  <c r="P192" i="179"/>
  <c r="K226" i="203" s="1"/>
  <c r="P191" i="179"/>
  <c r="M190" i="179"/>
  <c r="L190" i="179"/>
  <c r="Q147" i="179"/>
  <c r="Q148" i="179"/>
  <c r="O61" i="203" s="1"/>
  <c r="Q149" i="179"/>
  <c r="Q150" i="179"/>
  <c r="Q151" i="179"/>
  <c r="Q152" i="179"/>
  <c r="O111" i="195" s="1"/>
  <c r="Q153" i="179"/>
  <c r="Q154" i="179"/>
  <c r="Q155" i="179"/>
  <c r="Q156" i="179"/>
  <c r="Q157" i="179"/>
  <c r="Q158" i="179"/>
  <c r="Q159" i="179"/>
  <c r="Q160" i="179"/>
  <c r="Q161" i="179"/>
  <c r="Q162" i="179"/>
  <c r="Q163" i="179"/>
  <c r="Q164" i="179"/>
  <c r="Q165" i="179"/>
  <c r="Q166" i="179"/>
  <c r="Q167" i="179"/>
  <c r="Q168" i="179"/>
  <c r="P147" i="179"/>
  <c r="P148" i="179"/>
  <c r="N61" i="203" s="1"/>
  <c r="P149" i="179"/>
  <c r="P150" i="179"/>
  <c r="P151" i="179"/>
  <c r="P152" i="179"/>
  <c r="N111" i="195" s="1"/>
  <c r="P153" i="179"/>
  <c r="P154" i="179"/>
  <c r="P155" i="179"/>
  <c r="P156" i="179"/>
  <c r="P157" i="179"/>
  <c r="P158" i="179"/>
  <c r="P159" i="179"/>
  <c r="P160" i="179"/>
  <c r="P161" i="179"/>
  <c r="P162" i="179"/>
  <c r="P163" i="179"/>
  <c r="P164" i="179"/>
  <c r="P165" i="179"/>
  <c r="P166" i="179"/>
  <c r="P167" i="179"/>
  <c r="P168" i="179"/>
  <c r="D207" i="177"/>
  <c r="D208" i="177"/>
  <c r="D209" i="177"/>
  <c r="D210" i="177"/>
  <c r="D211" i="177"/>
  <c r="D212" i="177"/>
  <c r="D213" i="177"/>
  <c r="D214" i="177"/>
  <c r="D215" i="177"/>
  <c r="D216" i="177"/>
  <c r="D217" i="177"/>
  <c r="D218" i="177"/>
  <c r="D219" i="177"/>
  <c r="D220" i="177"/>
  <c r="D221" i="177"/>
  <c r="D222" i="177"/>
  <c r="D223" i="177"/>
  <c r="D224" i="177"/>
  <c r="D225" i="177"/>
  <c r="D226" i="177"/>
  <c r="D227" i="177"/>
  <c r="D228" i="177"/>
  <c r="Q118" i="179"/>
  <c r="Q119" i="179"/>
  <c r="Q120" i="179"/>
  <c r="Q121" i="179"/>
  <c r="O150" i="195" s="1"/>
  <c r="Q122" i="179"/>
  <c r="Q123" i="179"/>
  <c r="O43" i="195" s="1"/>
  <c r="Q124" i="179"/>
  <c r="Q125" i="179"/>
  <c r="O97" i="195" s="1"/>
  <c r="Q126" i="179"/>
  <c r="Q127" i="179"/>
  <c r="Q128" i="179"/>
  <c r="Q129" i="179"/>
  <c r="Q130" i="179"/>
  <c r="Q131" i="179"/>
  <c r="Q132" i="179"/>
  <c r="Q133" i="179"/>
  <c r="Q134" i="179"/>
  <c r="Q135" i="179"/>
  <c r="Q136" i="179"/>
  <c r="Q137" i="179"/>
  <c r="Q138" i="179"/>
  <c r="Q139" i="179"/>
  <c r="Q140" i="179"/>
  <c r="Q141" i="179"/>
  <c r="Q142" i="179"/>
  <c r="P118" i="179"/>
  <c r="P119" i="179"/>
  <c r="P120" i="179"/>
  <c r="P121" i="179"/>
  <c r="N150" i="195" s="1"/>
  <c r="P122" i="179"/>
  <c r="P123" i="179"/>
  <c r="N43" i="195" s="1"/>
  <c r="P124" i="179"/>
  <c r="P125" i="179"/>
  <c r="N97" i="195" s="1"/>
  <c r="P126" i="179"/>
  <c r="P127" i="179"/>
  <c r="P128" i="179"/>
  <c r="P129" i="179"/>
  <c r="P130" i="179"/>
  <c r="P131" i="179"/>
  <c r="P132" i="179"/>
  <c r="P133" i="179"/>
  <c r="P134" i="179"/>
  <c r="P135" i="179"/>
  <c r="P136" i="179"/>
  <c r="P137" i="179"/>
  <c r="P138" i="179"/>
  <c r="P139" i="179"/>
  <c r="P140" i="179"/>
  <c r="P141" i="179"/>
  <c r="P142" i="179"/>
  <c r="D178" i="177"/>
  <c r="D179" i="177"/>
  <c r="D180" i="177"/>
  <c r="D181" i="177"/>
  <c r="D182" i="177"/>
  <c r="D183" i="177"/>
  <c r="D184" i="177"/>
  <c r="D185" i="177"/>
  <c r="D186" i="177"/>
  <c r="D187" i="177"/>
  <c r="D188" i="177"/>
  <c r="D189" i="177"/>
  <c r="D190" i="177"/>
  <c r="D191" i="177"/>
  <c r="D192" i="177"/>
  <c r="D193" i="177"/>
  <c r="D194" i="177"/>
  <c r="D195" i="177"/>
  <c r="D196" i="177"/>
  <c r="D197" i="177"/>
  <c r="D198" i="177"/>
  <c r="D199" i="177"/>
  <c r="D200" i="177"/>
  <c r="D201" i="177"/>
  <c r="D202" i="177"/>
  <c r="Q104" i="179"/>
  <c r="Q105" i="179"/>
  <c r="Q106" i="179"/>
  <c r="Q107" i="179"/>
  <c r="Q108" i="179"/>
  <c r="O89" i="188" s="1"/>
  <c r="Q109" i="179"/>
  <c r="Q110" i="179"/>
  <c r="O90" i="188" s="1"/>
  <c r="Q111" i="179"/>
  <c r="Q112" i="179"/>
  <c r="Q113" i="179"/>
  <c r="P104" i="179"/>
  <c r="P105" i="179"/>
  <c r="P106" i="179"/>
  <c r="P107" i="179"/>
  <c r="P108" i="179"/>
  <c r="N89" i="188" s="1"/>
  <c r="P109" i="179"/>
  <c r="P110" i="179"/>
  <c r="N90" i="188" s="1"/>
  <c r="P111" i="179"/>
  <c r="P112" i="179"/>
  <c r="P113" i="179"/>
  <c r="D164" i="177"/>
  <c r="D165" i="177"/>
  <c r="D166" i="177"/>
  <c r="D167" i="177"/>
  <c r="D168" i="177"/>
  <c r="D169" i="177"/>
  <c r="D170" i="177"/>
  <c r="D171" i="177"/>
  <c r="D172" i="177"/>
  <c r="D173" i="177"/>
  <c r="C24" i="235"/>
  <c r="D26" i="290" s="1"/>
  <c r="J20" i="179"/>
  <c r="I70" i="179"/>
  <c r="I69" i="179"/>
  <c r="D66" i="179"/>
  <c r="D73" i="179" s="1"/>
  <c r="J69" i="179"/>
  <c r="M70" i="179"/>
  <c r="L70" i="179"/>
  <c r="K69" i="179"/>
  <c r="M69" i="179"/>
  <c r="L69" i="179"/>
  <c r="M68" i="179"/>
  <c r="L68" i="179"/>
  <c r="K68" i="179"/>
  <c r="J68" i="179"/>
  <c r="D286" i="177"/>
  <c r="D287" i="177"/>
  <c r="D288" i="177"/>
  <c r="D289" i="177"/>
  <c r="D278" i="177"/>
  <c r="C180" i="202" s="1"/>
  <c r="D197" i="202" s="1"/>
  <c r="D279" i="177"/>
  <c r="C199" i="202" s="1"/>
  <c r="D216" i="202" s="1"/>
  <c r="D280" i="177"/>
  <c r="C218" i="202" s="1"/>
  <c r="D235" i="202" s="1"/>
  <c r="D281" i="177"/>
  <c r="C237" i="202" s="1"/>
  <c r="D254" i="202" s="1"/>
  <c r="B10" i="182"/>
  <c r="C91" i="280" s="1"/>
  <c r="O110" i="184" l="1"/>
  <c r="N110" i="184"/>
  <c r="B97" i="235"/>
  <c r="D12" i="284"/>
  <c r="D10" i="284"/>
  <c r="B69" i="235"/>
  <c r="D11" i="284"/>
  <c r="G289" i="242"/>
  <c r="J289" i="242" s="1"/>
  <c r="G290" i="242"/>
  <c r="J290" i="242" s="1"/>
  <c r="G291" i="242"/>
  <c r="J291" i="242" s="1"/>
  <c r="G288" i="242"/>
  <c r="J288" i="242" s="1"/>
  <c r="J279" i="242"/>
  <c r="J287" i="242"/>
  <c r="G280" i="242"/>
  <c r="J280" i="242" s="1"/>
  <c r="G281" i="242"/>
  <c r="J281" i="242" s="1"/>
  <c r="G282" i="242"/>
  <c r="J282" i="242" s="1"/>
  <c r="G283" i="242"/>
  <c r="J283" i="242" s="1"/>
  <c r="G191" i="242"/>
  <c r="J191" i="242" s="1"/>
  <c r="G88" i="242"/>
  <c r="J88" i="242" s="1"/>
  <c r="G89" i="242"/>
  <c r="J89" i="242" s="1"/>
  <c r="G188" i="242"/>
  <c r="J188" i="242" s="1"/>
  <c r="G189" i="242"/>
  <c r="J189" i="242" s="1"/>
  <c r="G86" i="242"/>
  <c r="J86" i="242" s="1"/>
  <c r="G190" i="242"/>
  <c r="J190" i="242" s="1"/>
  <c r="G87" i="242"/>
  <c r="J87" i="242" s="1"/>
  <c r="G179" i="242"/>
  <c r="J179" i="242" s="1"/>
  <c r="G187" i="242"/>
  <c r="J187" i="242" s="1"/>
  <c r="G180" i="242"/>
  <c r="J180" i="242" s="1"/>
  <c r="G181" i="242"/>
  <c r="J181" i="242" s="1"/>
  <c r="G78" i="242"/>
  <c r="J78" i="242" s="1"/>
  <c r="G182" i="242"/>
  <c r="J182" i="242" s="1"/>
  <c r="G79" i="242"/>
  <c r="J79" i="242" s="1"/>
  <c r="G183" i="242"/>
  <c r="J183" i="242" s="1"/>
  <c r="G80" i="242"/>
  <c r="J80" i="242" s="1"/>
  <c r="G81" i="242"/>
  <c r="J81" i="242" s="1"/>
  <c r="C224" i="203"/>
  <c r="D232" i="203" s="1"/>
  <c r="N239" i="203"/>
  <c r="P239" i="203"/>
  <c r="L243" i="203"/>
  <c r="P243" i="203" s="1"/>
  <c r="L244" i="203"/>
  <c r="P244" i="203" s="1"/>
  <c r="L240" i="203"/>
  <c r="P240" i="203" s="1"/>
  <c r="L241" i="203"/>
  <c r="P241" i="203" s="1"/>
  <c r="L242" i="203"/>
  <c r="P242" i="203" s="1"/>
  <c r="M228" i="203"/>
  <c r="Q228" i="203" s="1"/>
  <c r="M229" i="203"/>
  <c r="Q229" i="203" s="1"/>
  <c r="M230" i="203"/>
  <c r="Q230" i="203" s="1"/>
  <c r="M231" i="203"/>
  <c r="M227" i="203"/>
  <c r="Q227" i="203" s="1"/>
  <c r="K240" i="203"/>
  <c r="O240" i="203" s="1"/>
  <c r="K241" i="203"/>
  <c r="O241" i="203" s="1"/>
  <c r="K242" i="203"/>
  <c r="O242" i="203" s="1"/>
  <c r="K243" i="203"/>
  <c r="O243" i="203" s="1"/>
  <c r="K244" i="203"/>
  <c r="O244" i="203" s="1"/>
  <c r="L230" i="203"/>
  <c r="P230" i="203" s="1"/>
  <c r="L231" i="203"/>
  <c r="L227" i="203"/>
  <c r="P227" i="203" s="1"/>
  <c r="L229" i="203"/>
  <c r="P229" i="203" s="1"/>
  <c r="L228" i="203"/>
  <c r="P228" i="203" s="1"/>
  <c r="Q226" i="203"/>
  <c r="O239" i="203"/>
  <c r="C237" i="203"/>
  <c r="D245" i="203" s="1"/>
  <c r="K227" i="203"/>
  <c r="O227" i="203" s="1"/>
  <c r="K228" i="203"/>
  <c r="O228" i="203" s="1"/>
  <c r="K229" i="203"/>
  <c r="O229" i="203" s="1"/>
  <c r="K230" i="203"/>
  <c r="O230" i="203" s="1"/>
  <c r="K231" i="203"/>
  <c r="O231" i="203" s="1"/>
  <c r="P226" i="203"/>
  <c r="M241" i="203"/>
  <c r="Q241" i="203" s="1"/>
  <c r="M242" i="203"/>
  <c r="Q242" i="203" s="1"/>
  <c r="M243" i="203"/>
  <c r="Q243" i="203" s="1"/>
  <c r="M244" i="203"/>
  <c r="Q244" i="203" s="1"/>
  <c r="M240" i="203"/>
  <c r="Q240" i="203" s="1"/>
  <c r="O226" i="203"/>
  <c r="J240" i="203"/>
  <c r="N240" i="203" s="1"/>
  <c r="J241" i="203"/>
  <c r="N241" i="203" s="1"/>
  <c r="J242" i="203"/>
  <c r="N242" i="203" s="1"/>
  <c r="J243" i="203"/>
  <c r="N243" i="203" s="1"/>
  <c r="J244" i="203"/>
  <c r="N244" i="203" s="1"/>
  <c r="Q239" i="203"/>
  <c r="C210" i="203"/>
  <c r="D218" i="203" s="1"/>
  <c r="O48" i="203"/>
  <c r="O114" i="203"/>
  <c r="N182" i="203"/>
  <c r="N122" i="203"/>
  <c r="N54" i="203"/>
  <c r="N183" i="203"/>
  <c r="N115" i="203"/>
  <c r="N55" i="203"/>
  <c r="N184" i="203"/>
  <c r="N116" i="203"/>
  <c r="N56" i="203"/>
  <c r="N185" i="203"/>
  <c r="N117" i="203"/>
  <c r="N49" i="203"/>
  <c r="N186" i="203"/>
  <c r="N118" i="203"/>
  <c r="N50" i="203"/>
  <c r="N187" i="203"/>
  <c r="N119" i="203"/>
  <c r="N51" i="203"/>
  <c r="N180" i="203"/>
  <c r="N188" i="203"/>
  <c r="N120" i="203"/>
  <c r="N52" i="203"/>
  <c r="N181" i="203"/>
  <c r="N121" i="203"/>
  <c r="N53" i="203"/>
  <c r="O183" i="203"/>
  <c r="O115" i="203"/>
  <c r="O55" i="203"/>
  <c r="O184" i="203"/>
  <c r="O116" i="203"/>
  <c r="O56" i="203"/>
  <c r="O185" i="203"/>
  <c r="O117" i="203"/>
  <c r="O49" i="203"/>
  <c r="O186" i="203"/>
  <c r="O118" i="203"/>
  <c r="O50" i="203"/>
  <c r="O187" i="203"/>
  <c r="O119" i="203"/>
  <c r="O51" i="203"/>
  <c r="O180" i="203"/>
  <c r="O188" i="203"/>
  <c r="O120" i="203"/>
  <c r="O52" i="203"/>
  <c r="O181" i="203"/>
  <c r="O121" i="203"/>
  <c r="O53" i="203"/>
  <c r="O182" i="203"/>
  <c r="O122" i="203"/>
  <c r="O54" i="203"/>
  <c r="N100" i="203"/>
  <c r="N34" i="203"/>
  <c r="O197" i="203"/>
  <c r="O129" i="203"/>
  <c r="O69" i="203"/>
  <c r="O198" i="203"/>
  <c r="O130" i="203"/>
  <c r="O62" i="203"/>
  <c r="O199" i="203"/>
  <c r="O131" i="203"/>
  <c r="O63" i="203"/>
  <c r="O200" i="203"/>
  <c r="O132" i="203"/>
  <c r="O64" i="203"/>
  <c r="O193" i="203"/>
  <c r="O201" i="203"/>
  <c r="O133" i="203"/>
  <c r="O65" i="203"/>
  <c r="O194" i="203"/>
  <c r="O134" i="203"/>
  <c r="O66" i="203"/>
  <c r="O195" i="203"/>
  <c r="O127" i="203"/>
  <c r="O135" i="203"/>
  <c r="O67" i="203"/>
  <c r="O196" i="203"/>
  <c r="O128" i="203"/>
  <c r="O68" i="203"/>
  <c r="N166" i="203"/>
  <c r="N174" i="203"/>
  <c r="N106" i="203"/>
  <c r="N38" i="203"/>
  <c r="N167" i="203"/>
  <c r="N175" i="203"/>
  <c r="N107" i="203"/>
  <c r="N39" i="203"/>
  <c r="N168" i="203"/>
  <c r="N108" i="203"/>
  <c r="N40" i="203"/>
  <c r="N35" i="203"/>
  <c r="N169" i="203"/>
  <c r="N101" i="203"/>
  <c r="N109" i="203"/>
  <c r="N41" i="203"/>
  <c r="N170" i="203"/>
  <c r="N102" i="203"/>
  <c r="N42" i="203"/>
  <c r="N171" i="203"/>
  <c r="N103" i="203"/>
  <c r="N43" i="203"/>
  <c r="N172" i="203"/>
  <c r="N104" i="203"/>
  <c r="N36" i="203"/>
  <c r="N173" i="203"/>
  <c r="N105" i="203"/>
  <c r="N37" i="203"/>
  <c r="O100" i="203"/>
  <c r="O34" i="203"/>
  <c r="N196" i="203"/>
  <c r="N128" i="203"/>
  <c r="N68" i="203"/>
  <c r="N197" i="203"/>
  <c r="N129" i="203"/>
  <c r="N69" i="203"/>
  <c r="N198" i="203"/>
  <c r="N130" i="203"/>
  <c r="N62" i="203"/>
  <c r="N199" i="203"/>
  <c r="N131" i="203"/>
  <c r="N63" i="203"/>
  <c r="N200" i="203"/>
  <c r="N132" i="203"/>
  <c r="N64" i="203"/>
  <c r="N193" i="203"/>
  <c r="N201" i="203"/>
  <c r="N133" i="203"/>
  <c r="N65" i="203"/>
  <c r="N194" i="203"/>
  <c r="N134" i="203"/>
  <c r="N66" i="203"/>
  <c r="N195" i="203"/>
  <c r="N127" i="203"/>
  <c r="N135" i="203"/>
  <c r="N67" i="203"/>
  <c r="O168" i="203"/>
  <c r="O108" i="203"/>
  <c r="O40" i="203"/>
  <c r="O169" i="203"/>
  <c r="O101" i="203"/>
  <c r="O109" i="203"/>
  <c r="O41" i="203"/>
  <c r="O170" i="203"/>
  <c r="O102" i="203"/>
  <c r="O42" i="203"/>
  <c r="O171" i="203"/>
  <c r="O103" i="203"/>
  <c r="O35" i="203"/>
  <c r="O43" i="203"/>
  <c r="O37" i="203"/>
  <c r="O172" i="203"/>
  <c r="O104" i="203"/>
  <c r="O36" i="203"/>
  <c r="O173" i="203"/>
  <c r="O105" i="203"/>
  <c r="O166" i="203"/>
  <c r="O174" i="203"/>
  <c r="O106" i="203"/>
  <c r="O38" i="203"/>
  <c r="O167" i="203"/>
  <c r="O175" i="203"/>
  <c r="O107" i="203"/>
  <c r="O39" i="203"/>
  <c r="N114" i="203"/>
  <c r="N48" i="203"/>
  <c r="B41" i="235"/>
  <c r="K178" i="187"/>
  <c r="K96" i="187"/>
  <c r="K179" i="187"/>
  <c r="K95" i="187"/>
  <c r="K18" i="187"/>
  <c r="K19" i="187"/>
  <c r="K20" i="187"/>
  <c r="K14" i="187"/>
  <c r="K15" i="187"/>
  <c r="K16" i="187"/>
  <c r="K17" i="187"/>
  <c r="O163" i="182"/>
  <c r="O171" i="182"/>
  <c r="O165" i="280"/>
  <c r="O173" i="280"/>
  <c r="O164" i="182"/>
  <c r="O172" i="182"/>
  <c r="O166" i="280"/>
  <c r="O165" i="182"/>
  <c r="O173" i="182"/>
  <c r="O167" i="280"/>
  <c r="O166" i="182"/>
  <c r="O174" i="182"/>
  <c r="O160" i="280"/>
  <c r="O168" i="280"/>
  <c r="O167" i="182"/>
  <c r="O161" i="280"/>
  <c r="O169" i="280"/>
  <c r="O168" i="182"/>
  <c r="O162" i="280"/>
  <c r="O170" i="280"/>
  <c r="O161" i="182"/>
  <c r="O169" i="182"/>
  <c r="O163" i="280"/>
  <c r="O171" i="280"/>
  <c r="O162" i="182"/>
  <c r="O170" i="182"/>
  <c r="O164" i="280"/>
  <c r="O172" i="280"/>
  <c r="N159" i="280"/>
  <c r="N160" i="182"/>
  <c r="N164" i="182"/>
  <c r="N172" i="182"/>
  <c r="N166" i="280"/>
  <c r="N165" i="182"/>
  <c r="N173" i="182"/>
  <c r="N167" i="280"/>
  <c r="N166" i="182"/>
  <c r="N174" i="182"/>
  <c r="N160" i="280"/>
  <c r="N168" i="280"/>
  <c r="N167" i="182"/>
  <c r="N161" i="280"/>
  <c r="N169" i="280"/>
  <c r="N168" i="182"/>
  <c r="N162" i="280"/>
  <c r="N170" i="280"/>
  <c r="N161" i="182"/>
  <c r="N169" i="182"/>
  <c r="N163" i="280"/>
  <c r="N171" i="280"/>
  <c r="N162" i="182"/>
  <c r="N170" i="182"/>
  <c r="N164" i="280"/>
  <c r="N172" i="280"/>
  <c r="N163" i="182"/>
  <c r="N171" i="182"/>
  <c r="N165" i="280"/>
  <c r="N173" i="280"/>
  <c r="K31" i="182"/>
  <c r="K23" i="182"/>
  <c r="K187" i="280"/>
  <c r="K102" i="280"/>
  <c r="K110" i="280"/>
  <c r="K30" i="182"/>
  <c r="K22" i="182"/>
  <c r="K103" i="280"/>
  <c r="K111" i="280"/>
  <c r="K29" i="182"/>
  <c r="K21" i="182"/>
  <c r="K104" i="280"/>
  <c r="K112" i="280"/>
  <c r="K17" i="280"/>
  <c r="K25" i="280"/>
  <c r="K188" i="182"/>
  <c r="K28" i="182"/>
  <c r="K20" i="182"/>
  <c r="K105" i="280"/>
  <c r="K113" i="280"/>
  <c r="K18" i="280"/>
  <c r="K26" i="280"/>
  <c r="K189" i="182"/>
  <c r="K104" i="182"/>
  <c r="K27" i="182"/>
  <c r="K19" i="182"/>
  <c r="K106" i="280"/>
  <c r="K114" i="280"/>
  <c r="K19" i="280"/>
  <c r="K27" i="280"/>
  <c r="K105" i="182"/>
  <c r="K26" i="182"/>
  <c r="K107" i="280"/>
  <c r="K115" i="280"/>
  <c r="K20" i="280"/>
  <c r="K25" i="182"/>
  <c r="K182" i="202"/>
  <c r="K108" i="280"/>
  <c r="K116" i="280"/>
  <c r="K21" i="280"/>
  <c r="K23" i="280"/>
  <c r="K24" i="182"/>
  <c r="K109" i="280"/>
  <c r="K22" i="280"/>
  <c r="K24" i="280"/>
  <c r="O159" i="280"/>
  <c r="O160" i="182"/>
  <c r="C177" i="182"/>
  <c r="D59" i="235"/>
  <c r="C131" i="187"/>
  <c r="D148" i="187" s="1"/>
  <c r="C214" i="187"/>
  <c r="D231" i="187" s="1"/>
  <c r="C112" i="187"/>
  <c r="D129" i="187" s="1"/>
  <c r="C195" i="187"/>
  <c r="D212" i="187" s="1"/>
  <c r="C93" i="187"/>
  <c r="C176" i="187"/>
  <c r="D193" i="187" s="1"/>
  <c r="C150" i="187"/>
  <c r="D167" i="187" s="1"/>
  <c r="C233" i="187"/>
  <c r="D250" i="187" s="1"/>
  <c r="C191" i="203"/>
  <c r="C72" i="280"/>
  <c r="D89" i="280" s="1"/>
  <c r="C157" i="280"/>
  <c r="D174" i="280" s="1"/>
  <c r="C242" i="280"/>
  <c r="D259" i="280" s="1"/>
  <c r="C178" i="203"/>
  <c r="C223" i="280"/>
  <c r="D240" i="280" s="1"/>
  <c r="C53" i="280"/>
  <c r="D70" i="280" s="1"/>
  <c r="C138" i="280"/>
  <c r="D155" i="280" s="1"/>
  <c r="C164" i="203"/>
  <c r="C204" i="280"/>
  <c r="D221" i="280" s="1"/>
  <c r="C34" i="280"/>
  <c r="D51" i="280" s="1"/>
  <c r="C119" i="280"/>
  <c r="D136" i="280" s="1"/>
  <c r="C145" i="203"/>
  <c r="C100" i="280"/>
  <c r="C185" i="280"/>
  <c r="C15" i="280"/>
  <c r="N34" i="195"/>
  <c r="C116" i="202"/>
  <c r="D133" i="202" s="1"/>
  <c r="C98" i="203"/>
  <c r="C154" i="202"/>
  <c r="D171" i="202" s="1"/>
  <c r="C125" i="203"/>
  <c r="C135" i="202"/>
  <c r="D152" i="202" s="1"/>
  <c r="C112" i="203"/>
  <c r="N98" i="188"/>
  <c r="O98" i="188"/>
  <c r="C76" i="188"/>
  <c r="C79" i="203"/>
  <c r="N136" i="188"/>
  <c r="N135" i="188"/>
  <c r="N134" i="188"/>
  <c r="N133" i="188"/>
  <c r="N132" i="188"/>
  <c r="O78" i="188"/>
  <c r="O131" i="188"/>
  <c r="O133" i="188"/>
  <c r="O132" i="188"/>
  <c r="O136" i="188"/>
  <c r="O135" i="188"/>
  <c r="O134" i="188"/>
  <c r="N78" i="188"/>
  <c r="N131" i="188"/>
  <c r="N83" i="188"/>
  <c r="N82" i="188"/>
  <c r="N81" i="188"/>
  <c r="N79" i="188"/>
  <c r="N80" i="188"/>
  <c r="O80" i="188"/>
  <c r="O79" i="188"/>
  <c r="O83" i="188"/>
  <c r="O82" i="188"/>
  <c r="O81" i="188"/>
  <c r="C13" i="203"/>
  <c r="C14" i="188"/>
  <c r="C129" i="188"/>
  <c r="N159" i="188"/>
  <c r="N102" i="188"/>
  <c r="N50" i="188"/>
  <c r="N152" i="188"/>
  <c r="N160" i="188"/>
  <c r="N103" i="188"/>
  <c r="N51" i="188"/>
  <c r="N153" i="188"/>
  <c r="N104" i="188"/>
  <c r="N52" i="188"/>
  <c r="N154" i="188"/>
  <c r="N105" i="188"/>
  <c r="N45" i="188"/>
  <c r="N53" i="188"/>
  <c r="N155" i="188"/>
  <c r="N106" i="188"/>
  <c r="N46" i="188"/>
  <c r="N156" i="188"/>
  <c r="N99" i="188"/>
  <c r="N107" i="188"/>
  <c r="N47" i="188"/>
  <c r="N157" i="188"/>
  <c r="N100" i="188"/>
  <c r="N48" i="188"/>
  <c r="N158" i="188"/>
  <c r="N101" i="188"/>
  <c r="N49" i="188"/>
  <c r="O44" i="188"/>
  <c r="O151" i="188"/>
  <c r="O153" i="188"/>
  <c r="O104" i="188"/>
  <c r="O52" i="188"/>
  <c r="O154" i="188"/>
  <c r="O105" i="188"/>
  <c r="O45" i="188"/>
  <c r="O53" i="188"/>
  <c r="O155" i="188"/>
  <c r="O106" i="188"/>
  <c r="O46" i="188"/>
  <c r="O156" i="188"/>
  <c r="O99" i="188"/>
  <c r="O107" i="188"/>
  <c r="O47" i="188"/>
  <c r="O157" i="188"/>
  <c r="O100" i="188"/>
  <c r="O48" i="188"/>
  <c r="O158" i="188"/>
  <c r="O101" i="188"/>
  <c r="O49" i="188"/>
  <c r="O159" i="188"/>
  <c r="O102" i="188"/>
  <c r="O50" i="188"/>
  <c r="O152" i="188"/>
  <c r="O160" i="188"/>
  <c r="O103" i="188"/>
  <c r="O51" i="188"/>
  <c r="O165" i="188"/>
  <c r="N35" i="188"/>
  <c r="N88" i="188"/>
  <c r="O115" i="188"/>
  <c r="O63" i="188"/>
  <c r="O116" i="188"/>
  <c r="O64" i="188"/>
  <c r="O166" i="188"/>
  <c r="O117" i="188"/>
  <c r="O65" i="188"/>
  <c r="O167" i="188"/>
  <c r="O118" i="188"/>
  <c r="O58" i="188"/>
  <c r="O66" i="188"/>
  <c r="O168" i="188"/>
  <c r="O59" i="188"/>
  <c r="O169" i="188"/>
  <c r="O112" i="188"/>
  <c r="O60" i="188"/>
  <c r="O170" i="188"/>
  <c r="O113" i="188"/>
  <c r="O61" i="188"/>
  <c r="O171" i="188"/>
  <c r="O114" i="188"/>
  <c r="O62" i="188"/>
  <c r="N143" i="188"/>
  <c r="N144" i="188"/>
  <c r="N36" i="188"/>
  <c r="N145" i="188"/>
  <c r="N37" i="188"/>
  <c r="N146" i="188"/>
  <c r="N38" i="188"/>
  <c r="N39" i="188"/>
  <c r="N91" i="188"/>
  <c r="N141" i="188"/>
  <c r="N92" i="188"/>
  <c r="N142" i="188"/>
  <c r="N93" i="188"/>
  <c r="N165" i="188"/>
  <c r="O35" i="188"/>
  <c r="O88" i="188"/>
  <c r="N116" i="188"/>
  <c r="N62" i="188"/>
  <c r="N166" i="188"/>
  <c r="N117" i="188"/>
  <c r="N63" i="188"/>
  <c r="N167" i="188"/>
  <c r="N118" i="188"/>
  <c r="N64" i="188"/>
  <c r="N168" i="188"/>
  <c r="N65" i="188"/>
  <c r="N169" i="188"/>
  <c r="N112" i="188"/>
  <c r="N58" i="188"/>
  <c r="N66" i="188"/>
  <c r="N170" i="188"/>
  <c r="N113" i="188"/>
  <c r="N59" i="188"/>
  <c r="N171" i="188"/>
  <c r="N114" i="188"/>
  <c r="N60" i="188"/>
  <c r="N115" i="188"/>
  <c r="N61" i="188"/>
  <c r="O141" i="188"/>
  <c r="O92" i="188"/>
  <c r="O142" i="188"/>
  <c r="O93" i="188"/>
  <c r="O143" i="188"/>
  <c r="O144" i="188"/>
  <c r="O145" i="188"/>
  <c r="O36" i="188"/>
  <c r="O146" i="188"/>
  <c r="O37" i="188"/>
  <c r="O38" i="188"/>
  <c r="O91" i="188"/>
  <c r="O39" i="188"/>
  <c r="N151" i="188"/>
  <c r="N44" i="188"/>
  <c r="O130" i="195"/>
  <c r="N130" i="195"/>
  <c r="O131" i="195"/>
  <c r="O132" i="195"/>
  <c r="O133" i="195"/>
  <c r="O134" i="195"/>
  <c r="O135" i="195"/>
  <c r="N131" i="195"/>
  <c r="N132" i="195"/>
  <c r="N133" i="195"/>
  <c r="N134" i="195"/>
  <c r="N135" i="195"/>
  <c r="O34" i="195"/>
  <c r="O77" i="195"/>
  <c r="O79" i="195"/>
  <c r="O82" i="195"/>
  <c r="O78" i="195"/>
  <c r="O81" i="195"/>
  <c r="O80" i="195"/>
  <c r="N77" i="195"/>
  <c r="N78" i="195"/>
  <c r="N81" i="195"/>
  <c r="N82" i="195"/>
  <c r="N80" i="195"/>
  <c r="N79" i="195"/>
  <c r="C75" i="195"/>
  <c r="C128" i="195"/>
  <c r="N87" i="195"/>
  <c r="N32" i="184"/>
  <c r="N140" i="195"/>
  <c r="N156" i="195"/>
  <c r="N103" i="195"/>
  <c r="N50" i="195"/>
  <c r="N157" i="195"/>
  <c r="N104" i="195"/>
  <c r="N51" i="195"/>
  <c r="N158" i="195"/>
  <c r="N105" i="195"/>
  <c r="N44" i="195"/>
  <c r="N52" i="195"/>
  <c r="N151" i="195"/>
  <c r="N159" i="195"/>
  <c r="N98" i="195"/>
  <c r="N106" i="195"/>
  <c r="N45" i="195"/>
  <c r="N152" i="195"/>
  <c r="N99" i="195"/>
  <c r="N46" i="195"/>
  <c r="N153" i="195"/>
  <c r="N100" i="195"/>
  <c r="N47" i="195"/>
  <c r="N154" i="195"/>
  <c r="N101" i="195"/>
  <c r="N48" i="195"/>
  <c r="N155" i="195"/>
  <c r="N102" i="195"/>
  <c r="N49" i="195"/>
  <c r="O109" i="184"/>
  <c r="O57" i="195"/>
  <c r="O164" i="195"/>
  <c r="O165" i="195"/>
  <c r="O112" i="195"/>
  <c r="O62" i="195"/>
  <c r="N35" i="195"/>
  <c r="N141" i="195"/>
  <c r="N88" i="195"/>
  <c r="N36" i="195"/>
  <c r="N142" i="195"/>
  <c r="N89" i="195"/>
  <c r="N37" i="195"/>
  <c r="N143" i="195"/>
  <c r="N90" i="195"/>
  <c r="N38" i="195"/>
  <c r="N144" i="195"/>
  <c r="N91" i="195"/>
  <c r="N145" i="195"/>
  <c r="N92" i="195"/>
  <c r="O158" i="195"/>
  <c r="O105" i="195"/>
  <c r="O44" i="195"/>
  <c r="O52" i="195"/>
  <c r="O151" i="195"/>
  <c r="O159" i="195"/>
  <c r="O98" i="195"/>
  <c r="O106" i="195"/>
  <c r="O45" i="195"/>
  <c r="O152" i="195"/>
  <c r="O99" i="195"/>
  <c r="O46" i="195"/>
  <c r="O153" i="195"/>
  <c r="O100" i="195"/>
  <c r="O47" i="195"/>
  <c r="O154" i="195"/>
  <c r="O101" i="195"/>
  <c r="O48" i="195"/>
  <c r="O155" i="195"/>
  <c r="O102" i="195"/>
  <c r="O49" i="195"/>
  <c r="O156" i="195"/>
  <c r="O103" i="195"/>
  <c r="O50" i="195"/>
  <c r="O157" i="195"/>
  <c r="O104" i="195"/>
  <c r="O51" i="195"/>
  <c r="O169" i="195"/>
  <c r="O116" i="195"/>
  <c r="O63" i="195"/>
  <c r="O170" i="195"/>
  <c r="O117" i="195"/>
  <c r="O64" i="195"/>
  <c r="O65" i="195"/>
  <c r="O58" i="195"/>
  <c r="O59" i="195"/>
  <c r="O166" i="195"/>
  <c r="O113" i="195"/>
  <c r="O60" i="195"/>
  <c r="O167" i="195"/>
  <c r="O114" i="195"/>
  <c r="O61" i="195"/>
  <c r="O168" i="195"/>
  <c r="O115" i="195"/>
  <c r="O87" i="195"/>
  <c r="O32" i="184"/>
  <c r="O140" i="195"/>
  <c r="N109" i="184"/>
  <c r="N62" i="195"/>
  <c r="N164" i="195"/>
  <c r="N165" i="195"/>
  <c r="N112" i="195"/>
  <c r="N57" i="195"/>
  <c r="O141" i="195"/>
  <c r="O88" i="195"/>
  <c r="O35" i="195"/>
  <c r="O142" i="195"/>
  <c r="O89" i="195"/>
  <c r="O36" i="195"/>
  <c r="O143" i="195"/>
  <c r="O90" i="195"/>
  <c r="O37" i="195"/>
  <c r="O144" i="195"/>
  <c r="O91" i="195"/>
  <c r="O38" i="195"/>
  <c r="O145" i="195"/>
  <c r="O92" i="195"/>
  <c r="N170" i="195"/>
  <c r="N117" i="195"/>
  <c r="N63" i="195"/>
  <c r="N64" i="195"/>
  <c r="N65" i="195"/>
  <c r="N166" i="195"/>
  <c r="N113" i="195"/>
  <c r="N58" i="195"/>
  <c r="N167" i="195"/>
  <c r="N114" i="195"/>
  <c r="N59" i="195"/>
  <c r="N168" i="195"/>
  <c r="N115" i="195"/>
  <c r="N60" i="195"/>
  <c r="N169" i="195"/>
  <c r="N116" i="195"/>
  <c r="N61" i="195"/>
  <c r="C13" i="195"/>
  <c r="O126" i="184"/>
  <c r="N126" i="184"/>
  <c r="N160" i="184"/>
  <c r="O131" i="184"/>
  <c r="O130" i="184"/>
  <c r="O129" i="184"/>
  <c r="O128" i="184"/>
  <c r="O127" i="184"/>
  <c r="O160" i="184"/>
  <c r="N131" i="184"/>
  <c r="N130" i="184"/>
  <c r="N129" i="184"/>
  <c r="N128" i="184"/>
  <c r="N127" i="184"/>
  <c r="C73" i="184"/>
  <c r="C124" i="184"/>
  <c r="N78" i="184"/>
  <c r="N77" i="184"/>
  <c r="N76" i="184"/>
  <c r="N80" i="184"/>
  <c r="N79" i="184"/>
  <c r="N85" i="184"/>
  <c r="O75" i="184"/>
  <c r="O80" i="184"/>
  <c r="O79" i="184"/>
  <c r="O78" i="184"/>
  <c r="O77" i="184"/>
  <c r="O76" i="184"/>
  <c r="O85" i="184"/>
  <c r="N75" i="184"/>
  <c r="O55" i="184"/>
  <c r="O63" i="184"/>
  <c r="O56" i="184"/>
  <c r="O161" i="184"/>
  <c r="O57" i="184"/>
  <c r="O162" i="184"/>
  <c r="O111" i="184"/>
  <c r="O58" i="184"/>
  <c r="O163" i="184"/>
  <c r="O112" i="184"/>
  <c r="O59" i="184"/>
  <c r="O164" i="184"/>
  <c r="O113" i="184"/>
  <c r="O60" i="184"/>
  <c r="O165" i="184"/>
  <c r="O114" i="184"/>
  <c r="O61" i="184"/>
  <c r="O166" i="184"/>
  <c r="O115" i="184"/>
  <c r="O62" i="184"/>
  <c r="N137" i="184"/>
  <c r="N87" i="184"/>
  <c r="N35" i="184"/>
  <c r="N36" i="184"/>
  <c r="N138" i="184"/>
  <c r="N88" i="184"/>
  <c r="N139" i="184"/>
  <c r="N89" i="184"/>
  <c r="N140" i="184"/>
  <c r="N90" i="184"/>
  <c r="N141" i="184"/>
  <c r="N33" i="184"/>
  <c r="N136" i="184"/>
  <c r="N86" i="184"/>
  <c r="N34" i="184"/>
  <c r="N153" i="184"/>
  <c r="N95" i="184"/>
  <c r="N103" i="184"/>
  <c r="N42" i="184"/>
  <c r="N50" i="184"/>
  <c r="N146" i="184"/>
  <c r="N154" i="184"/>
  <c r="N96" i="184"/>
  <c r="N104" i="184"/>
  <c r="N43" i="184"/>
  <c r="N147" i="184"/>
  <c r="N155" i="184"/>
  <c r="N97" i="184"/>
  <c r="N44" i="184"/>
  <c r="N148" i="184"/>
  <c r="N98" i="184"/>
  <c r="N45" i="184"/>
  <c r="N149" i="184"/>
  <c r="N99" i="184"/>
  <c r="N46" i="184"/>
  <c r="N150" i="184"/>
  <c r="N100" i="184"/>
  <c r="N47" i="184"/>
  <c r="N151" i="184"/>
  <c r="N101" i="184"/>
  <c r="N48" i="184"/>
  <c r="N152" i="184"/>
  <c r="N102" i="184"/>
  <c r="N41" i="184"/>
  <c r="N49" i="184"/>
  <c r="N62" i="184"/>
  <c r="N161" i="184"/>
  <c r="N55" i="184"/>
  <c r="N63" i="184"/>
  <c r="N162" i="184"/>
  <c r="N111" i="184"/>
  <c r="N56" i="184"/>
  <c r="N163" i="184"/>
  <c r="N112" i="184"/>
  <c r="N57" i="184"/>
  <c r="N164" i="184"/>
  <c r="N113" i="184"/>
  <c r="N58" i="184"/>
  <c r="N165" i="184"/>
  <c r="N114" i="184"/>
  <c r="N59" i="184"/>
  <c r="N166" i="184"/>
  <c r="N115" i="184"/>
  <c r="N60" i="184"/>
  <c r="N61" i="184"/>
  <c r="O136" i="184"/>
  <c r="O86" i="184"/>
  <c r="O137" i="184"/>
  <c r="O87" i="184"/>
  <c r="O34" i="184"/>
  <c r="O138" i="184"/>
  <c r="O88" i="184"/>
  <c r="O35" i="184"/>
  <c r="O139" i="184"/>
  <c r="O89" i="184"/>
  <c r="O36" i="184"/>
  <c r="O140" i="184"/>
  <c r="O90" i="184"/>
  <c r="O141" i="184"/>
  <c r="O33" i="184"/>
  <c r="O147" i="184"/>
  <c r="O155" i="184"/>
  <c r="O97" i="184"/>
  <c r="O44" i="184"/>
  <c r="O148" i="184"/>
  <c r="O98" i="184"/>
  <c r="O45" i="184"/>
  <c r="O149" i="184"/>
  <c r="O99" i="184"/>
  <c r="O46" i="184"/>
  <c r="O150" i="184"/>
  <c r="O100" i="184"/>
  <c r="O47" i="184"/>
  <c r="O151" i="184"/>
  <c r="O101" i="184"/>
  <c r="O48" i="184"/>
  <c r="O152" i="184"/>
  <c r="O102" i="184"/>
  <c r="O41" i="184"/>
  <c r="O49" i="184"/>
  <c r="O153" i="184"/>
  <c r="O95" i="184"/>
  <c r="O103" i="184"/>
  <c r="O42" i="184"/>
  <c r="O50" i="184"/>
  <c r="O146" i="184"/>
  <c r="O154" i="184"/>
  <c r="O96" i="184"/>
  <c r="O104" i="184"/>
  <c r="O43" i="184"/>
  <c r="C97" i="202"/>
  <c r="D114" i="202" s="1"/>
  <c r="C11" i="184"/>
  <c r="C33" i="202"/>
  <c r="D50" i="202" s="1"/>
  <c r="C14" i="202"/>
  <c r="D31" i="202" s="1"/>
  <c r="C71" i="202"/>
  <c r="D88" i="202" s="1"/>
  <c r="C52" i="202"/>
  <c r="D69" i="202" s="1"/>
  <c r="C92" i="182"/>
  <c r="C139" i="182"/>
  <c r="D156" i="182" s="1"/>
  <c r="C50" i="187"/>
  <c r="D67" i="187" s="1"/>
  <c r="C158" i="182"/>
  <c r="D175" i="182" s="1"/>
  <c r="C69" i="187"/>
  <c r="D86" i="187" s="1"/>
  <c r="C120" i="182"/>
  <c r="D137" i="182" s="1"/>
  <c r="C31" i="187"/>
  <c r="D48" i="187" s="1"/>
  <c r="C16" i="182"/>
  <c r="C12" i="187"/>
  <c r="D29" i="187" s="1"/>
  <c r="C224" i="182"/>
  <c r="D241" i="182" s="1"/>
  <c r="C205" i="182"/>
  <c r="D222" i="182" s="1"/>
  <c r="C243" i="182"/>
  <c r="D260" i="182" s="1"/>
  <c r="C186" i="182"/>
  <c r="C101" i="182"/>
  <c r="J66" i="179"/>
  <c r="K66" i="179"/>
  <c r="L66" i="179"/>
  <c r="M66" i="179"/>
  <c r="J284" i="242" l="1"/>
  <c r="J292" i="242"/>
  <c r="J319" i="242" s="1"/>
  <c r="J90" i="242"/>
  <c r="J82" i="242"/>
  <c r="J118" i="242" s="1"/>
  <c r="J192" i="242"/>
  <c r="J184" i="242"/>
  <c r="P231" i="203"/>
  <c r="P232" i="203" s="1"/>
  <c r="Q231" i="203"/>
  <c r="Q232" i="203" s="1"/>
  <c r="H154" i="249" s="1"/>
  <c r="O232" i="203"/>
  <c r="O245" i="203"/>
  <c r="M245" i="203"/>
  <c r="L232" i="203"/>
  <c r="D387" i="177"/>
  <c r="C182" i="249" s="1"/>
  <c r="B203" i="249" s="1"/>
  <c r="D195" i="249"/>
  <c r="K232" i="203"/>
  <c r="K245" i="203"/>
  <c r="L245" i="203"/>
  <c r="P245" i="203"/>
  <c r="Q245" i="203"/>
  <c r="M232" i="203"/>
  <c r="H151" i="249" s="1"/>
  <c r="J245" i="203"/>
  <c r="N245" i="203"/>
  <c r="D386" i="177"/>
  <c r="C145" i="249" s="1"/>
  <c r="D158" i="249"/>
  <c r="D385" i="177"/>
  <c r="C110" i="249" s="1"/>
  <c r="B129" i="249" s="1"/>
  <c r="D121" i="249"/>
  <c r="N57" i="203"/>
  <c r="N123" i="203"/>
  <c r="N136" i="203"/>
  <c r="O70" i="203"/>
  <c r="N70" i="203"/>
  <c r="N202" i="203"/>
  <c r="O44" i="203"/>
  <c r="O176" i="203"/>
  <c r="O110" i="203"/>
  <c r="N44" i="203"/>
  <c r="N110" i="203"/>
  <c r="N189" i="203"/>
  <c r="O136" i="203"/>
  <c r="O202" i="203"/>
  <c r="O189" i="203"/>
  <c r="N176" i="203"/>
  <c r="O123" i="203"/>
  <c r="O57" i="203"/>
  <c r="M95" i="187"/>
  <c r="L95" i="187"/>
  <c r="L179" i="187"/>
  <c r="N179" i="187" s="1"/>
  <c r="M179" i="187"/>
  <c r="O179" i="187" s="1"/>
  <c r="M96" i="187"/>
  <c r="O96" i="187" s="1"/>
  <c r="L96" i="187"/>
  <c r="N96" i="187" s="1"/>
  <c r="L178" i="187"/>
  <c r="M178" i="187"/>
  <c r="O175" i="182"/>
  <c r="L116" i="280"/>
  <c r="N116" i="280" s="1"/>
  <c r="M116" i="280"/>
  <c r="O116" i="280" s="1"/>
  <c r="M105" i="182"/>
  <c r="O105" i="182" s="1"/>
  <c r="L105" i="182"/>
  <c r="N105" i="182" s="1"/>
  <c r="M189" i="182"/>
  <c r="O189" i="182" s="1"/>
  <c r="L189" i="182"/>
  <c r="N189" i="182" s="1"/>
  <c r="L25" i="280"/>
  <c r="N25" i="280" s="1"/>
  <c r="M25" i="280"/>
  <c r="O25" i="280" s="1"/>
  <c r="L22" i="182"/>
  <c r="N22" i="182" s="1"/>
  <c r="M22" i="182"/>
  <c r="O22" i="182" s="1"/>
  <c r="O174" i="280"/>
  <c r="M108" i="280"/>
  <c r="O108" i="280" s="1"/>
  <c r="L108" i="280"/>
  <c r="N108" i="280" s="1"/>
  <c r="L27" i="280"/>
  <c r="N27" i="280" s="1"/>
  <c r="M27" i="280"/>
  <c r="O27" i="280" s="1"/>
  <c r="L26" i="280"/>
  <c r="N26" i="280" s="1"/>
  <c r="M26" i="280"/>
  <c r="O26" i="280" s="1"/>
  <c r="M17" i="280"/>
  <c r="L17" i="280"/>
  <c r="L30" i="182"/>
  <c r="N30" i="182" s="1"/>
  <c r="M30" i="182"/>
  <c r="O30" i="182" s="1"/>
  <c r="L17" i="187"/>
  <c r="N17" i="187" s="1"/>
  <c r="M17" i="187"/>
  <c r="O17" i="187" s="1"/>
  <c r="L24" i="280"/>
  <c r="N24" i="280" s="1"/>
  <c r="M24" i="280"/>
  <c r="O24" i="280" s="1"/>
  <c r="L182" i="202"/>
  <c r="M182" i="202"/>
  <c r="M19" i="280"/>
  <c r="O19" i="280" s="1"/>
  <c r="L19" i="280"/>
  <c r="N19" i="280" s="1"/>
  <c r="M18" i="280"/>
  <c r="O18" i="280" s="1"/>
  <c r="L18" i="280"/>
  <c r="N18" i="280" s="1"/>
  <c r="M112" i="280"/>
  <c r="O112" i="280" s="1"/>
  <c r="L112" i="280"/>
  <c r="N112" i="280" s="1"/>
  <c r="L110" i="280"/>
  <c r="N110" i="280" s="1"/>
  <c r="M110" i="280"/>
  <c r="O110" i="280" s="1"/>
  <c r="L16" i="187"/>
  <c r="N16" i="187" s="1"/>
  <c r="M16" i="187"/>
  <c r="O16" i="187" s="1"/>
  <c r="M22" i="280"/>
  <c r="O22" i="280" s="1"/>
  <c r="L22" i="280"/>
  <c r="N22" i="280" s="1"/>
  <c r="L25" i="182"/>
  <c r="N25" i="182" s="1"/>
  <c r="M25" i="182"/>
  <c r="O25" i="182" s="1"/>
  <c r="L114" i="280"/>
  <c r="N114" i="280" s="1"/>
  <c r="M114" i="280"/>
  <c r="O114" i="280" s="1"/>
  <c r="M113" i="280"/>
  <c r="O113" i="280" s="1"/>
  <c r="L113" i="280"/>
  <c r="N113" i="280" s="1"/>
  <c r="M104" i="280"/>
  <c r="O104" i="280" s="1"/>
  <c r="L104" i="280"/>
  <c r="N104" i="280" s="1"/>
  <c r="L102" i="280"/>
  <c r="M102" i="280"/>
  <c r="N175" i="182"/>
  <c r="M15" i="187"/>
  <c r="O15" i="187" s="1"/>
  <c r="L15" i="187"/>
  <c r="N15" i="187" s="1"/>
  <c r="M109" i="280"/>
  <c r="O109" i="280" s="1"/>
  <c r="L109" i="280"/>
  <c r="N109" i="280" s="1"/>
  <c r="L20" i="280"/>
  <c r="N20" i="280" s="1"/>
  <c r="M20" i="280"/>
  <c r="O20" i="280" s="1"/>
  <c r="L106" i="280"/>
  <c r="N106" i="280" s="1"/>
  <c r="M106" i="280"/>
  <c r="O106" i="280" s="1"/>
  <c r="M105" i="280"/>
  <c r="O105" i="280" s="1"/>
  <c r="L105" i="280"/>
  <c r="N105" i="280" s="1"/>
  <c r="L21" i="182"/>
  <c r="N21" i="182" s="1"/>
  <c r="M21" i="182"/>
  <c r="O21" i="182" s="1"/>
  <c r="M187" i="280"/>
  <c r="L187" i="280"/>
  <c r="N174" i="280"/>
  <c r="M14" i="187"/>
  <c r="L14" i="187"/>
  <c r="M24" i="182"/>
  <c r="O24" i="182" s="1"/>
  <c r="L24" i="182"/>
  <c r="N24" i="182" s="1"/>
  <c r="M115" i="280"/>
  <c r="O115" i="280" s="1"/>
  <c r="L115" i="280"/>
  <c r="N115" i="280" s="1"/>
  <c r="L19" i="182"/>
  <c r="M19" i="182"/>
  <c r="M20" i="182"/>
  <c r="O20" i="182" s="1"/>
  <c r="L20" i="182"/>
  <c r="N20" i="182" s="1"/>
  <c r="L29" i="182"/>
  <c r="N29" i="182" s="1"/>
  <c r="M29" i="182"/>
  <c r="O29" i="182" s="1"/>
  <c r="L23" i="182"/>
  <c r="N23" i="182" s="1"/>
  <c r="M23" i="182"/>
  <c r="O23" i="182" s="1"/>
  <c r="L20" i="187"/>
  <c r="N20" i="187" s="1"/>
  <c r="M20" i="187"/>
  <c r="O20" i="187" s="1"/>
  <c r="L23" i="280"/>
  <c r="N23" i="280" s="1"/>
  <c r="M23" i="280"/>
  <c r="O23" i="280" s="1"/>
  <c r="M107" i="280"/>
  <c r="O107" i="280" s="1"/>
  <c r="L107" i="280"/>
  <c r="N107" i="280" s="1"/>
  <c r="L27" i="182"/>
  <c r="N27" i="182" s="1"/>
  <c r="M27" i="182"/>
  <c r="O27" i="182" s="1"/>
  <c r="M28" i="182"/>
  <c r="O28" i="182" s="1"/>
  <c r="L28" i="182"/>
  <c r="N28" i="182" s="1"/>
  <c r="M111" i="280"/>
  <c r="O111" i="280" s="1"/>
  <c r="L111" i="280"/>
  <c r="N111" i="280" s="1"/>
  <c r="L31" i="182"/>
  <c r="N31" i="182" s="1"/>
  <c r="M31" i="182"/>
  <c r="O31" i="182" s="1"/>
  <c r="L19" i="187"/>
  <c r="N19" i="187" s="1"/>
  <c r="M19" i="187"/>
  <c r="O19" i="187" s="1"/>
  <c r="M21" i="280"/>
  <c r="O21" i="280" s="1"/>
  <c r="L21" i="280"/>
  <c r="N21" i="280" s="1"/>
  <c r="L26" i="182"/>
  <c r="N26" i="182" s="1"/>
  <c r="M26" i="182"/>
  <c r="O26" i="182" s="1"/>
  <c r="M104" i="182"/>
  <c r="L104" i="182"/>
  <c r="M188" i="182"/>
  <c r="L188" i="182"/>
  <c r="M103" i="280"/>
  <c r="O103" i="280" s="1"/>
  <c r="L103" i="280"/>
  <c r="N103" i="280" s="1"/>
  <c r="L18" i="187"/>
  <c r="N18" i="187" s="1"/>
  <c r="M18" i="187"/>
  <c r="O18" i="187" s="1"/>
  <c r="O137" i="188"/>
  <c r="N137" i="188"/>
  <c r="N84" i="188"/>
  <c r="O84" i="188"/>
  <c r="N136" i="195"/>
  <c r="O136" i="195"/>
  <c r="O132" i="184"/>
  <c r="N132" i="184"/>
  <c r="H190" i="249" l="1"/>
  <c r="H187" i="249"/>
  <c r="H188" i="249"/>
  <c r="H191" i="249"/>
  <c r="H153" i="249"/>
  <c r="H150" i="249"/>
  <c r="J315" i="242"/>
  <c r="J318" i="242"/>
  <c r="J316" i="242"/>
  <c r="B166" i="249"/>
  <c r="N138" i="203"/>
  <c r="H61" i="249" s="1"/>
  <c r="N204" i="203"/>
  <c r="H88" i="249" s="1"/>
  <c r="O204" i="203"/>
  <c r="H89" i="249" s="1"/>
  <c r="N72" i="203"/>
  <c r="H34" i="249" s="1"/>
  <c r="O138" i="203"/>
  <c r="H62" i="249" s="1"/>
  <c r="O72" i="203"/>
  <c r="H35" i="249" s="1"/>
  <c r="J216" i="242"/>
  <c r="J219" i="242"/>
  <c r="J215" i="242"/>
  <c r="J218" i="242"/>
  <c r="J116" i="242"/>
  <c r="J119" i="242"/>
  <c r="J115" i="242"/>
  <c r="O178" i="187"/>
  <c r="O193" i="187" s="1"/>
  <c r="O252" i="187" s="1"/>
  <c r="H209" i="237" s="1"/>
  <c r="M193" i="187"/>
  <c r="M252" i="187" s="1"/>
  <c r="N178" i="187"/>
  <c r="N193" i="187" s="1"/>
  <c r="N252" i="187" s="1"/>
  <c r="H208" i="237" s="1"/>
  <c r="L193" i="187"/>
  <c r="L252" i="187" s="1"/>
  <c r="N95" i="187"/>
  <c r="N110" i="187" s="1"/>
  <c r="N169" i="187" s="1"/>
  <c r="H137" i="237" s="1"/>
  <c r="L110" i="187"/>
  <c r="L169" i="187" s="1"/>
  <c r="O95" i="187"/>
  <c r="O110" i="187" s="1"/>
  <c r="O169" i="187" s="1"/>
  <c r="H138" i="237" s="1"/>
  <c r="M110" i="187"/>
  <c r="M169" i="187" s="1"/>
  <c r="N188" i="182"/>
  <c r="N203" i="182" s="1"/>
  <c r="N262" i="182" s="1"/>
  <c r="L203" i="182"/>
  <c r="L262" i="182" s="1"/>
  <c r="H84" i="235" s="1"/>
  <c r="O187" i="280"/>
  <c r="O202" i="280" s="1"/>
  <c r="O261" i="280" s="1"/>
  <c r="M202" i="280"/>
  <c r="M261" i="280" s="1"/>
  <c r="M203" i="182"/>
  <c r="M262" i="182" s="1"/>
  <c r="H85" i="235" s="1"/>
  <c r="O188" i="182"/>
  <c r="O203" i="182" s="1"/>
  <c r="O262" i="182" s="1"/>
  <c r="L118" i="182"/>
  <c r="L177" i="182" s="1"/>
  <c r="H56" i="235" s="1"/>
  <c r="N104" i="182"/>
  <c r="N118" i="182" s="1"/>
  <c r="N177" i="182" s="1"/>
  <c r="O104" i="182"/>
  <c r="O118" i="182" s="1"/>
  <c r="O177" i="182" s="1"/>
  <c r="M118" i="182"/>
  <c r="M177" i="182" s="1"/>
  <c r="H57" i="235" s="1"/>
  <c r="L29" i="187"/>
  <c r="L88" i="187" s="1"/>
  <c r="N14" i="187"/>
  <c r="N29" i="187" s="1"/>
  <c r="N88" i="187" s="1"/>
  <c r="O182" i="202"/>
  <c r="O197" i="202" s="1"/>
  <c r="O256" i="202" s="1"/>
  <c r="H407" i="237" s="1"/>
  <c r="M197" i="202"/>
  <c r="M256" i="202" s="1"/>
  <c r="N17" i="280"/>
  <c r="N32" i="280" s="1"/>
  <c r="N91" i="280" s="1"/>
  <c r="L32" i="280"/>
  <c r="L91" i="280" s="1"/>
  <c r="O14" i="187"/>
  <c r="O29" i="187" s="1"/>
  <c r="O88" i="187" s="1"/>
  <c r="M29" i="187"/>
  <c r="M88" i="187" s="1"/>
  <c r="N182" i="202"/>
  <c r="N197" i="202" s="1"/>
  <c r="N256" i="202" s="1"/>
  <c r="H406" i="237" s="1"/>
  <c r="L197" i="202"/>
  <c r="L256" i="202" s="1"/>
  <c r="O17" i="280"/>
  <c r="O32" i="280" s="1"/>
  <c r="O91" i="280" s="1"/>
  <c r="M32" i="280"/>
  <c r="M91" i="280" s="1"/>
  <c r="O19" i="182"/>
  <c r="O33" i="182" s="1"/>
  <c r="M33" i="182"/>
  <c r="M117" i="280"/>
  <c r="M176" i="280" s="1"/>
  <c r="O102" i="280"/>
  <c r="O117" i="280" s="1"/>
  <c r="O176" i="280" s="1"/>
  <c r="N19" i="182"/>
  <c r="N33" i="182" s="1"/>
  <c r="L33" i="182"/>
  <c r="N187" i="280"/>
  <c r="N202" i="280" s="1"/>
  <c r="N261" i="280" s="1"/>
  <c r="L202" i="280"/>
  <c r="L261" i="280" s="1"/>
  <c r="L117" i="280"/>
  <c r="L176" i="280" s="1"/>
  <c r="N102" i="280"/>
  <c r="N117" i="280" s="1"/>
  <c r="N176" i="280" s="1"/>
  <c r="N173" i="202"/>
  <c r="H339" i="237" s="1"/>
  <c r="L173" i="202"/>
  <c r="O173" i="202"/>
  <c r="H340" i="237" s="1"/>
  <c r="M173" i="202"/>
  <c r="N90" i="202"/>
  <c r="L90" i="202"/>
  <c r="O90" i="202"/>
  <c r="M90" i="202"/>
  <c r="F89" i="290" l="1"/>
  <c r="G89" i="290" s="1"/>
  <c r="F90" i="290"/>
  <c r="G90" i="290" s="1"/>
  <c r="F88" i="290"/>
  <c r="G88" i="290" s="1"/>
  <c r="H275" i="237"/>
  <c r="H274" i="237"/>
  <c r="H32" i="278"/>
  <c r="H61" i="278"/>
  <c r="J61" i="278" s="1"/>
  <c r="J76" i="278" s="1"/>
  <c r="J79" i="278" s="1"/>
  <c r="H62" i="278"/>
  <c r="J62" i="278" s="1"/>
  <c r="J77" i="278" s="1"/>
  <c r="J80" i="278" s="1"/>
  <c r="H31" i="278"/>
  <c r="H89" i="278"/>
  <c r="J89" i="278" s="1"/>
  <c r="H90" i="278"/>
  <c r="J90" i="278" s="1"/>
  <c r="J106" i="278" s="1"/>
  <c r="J109" i="278" s="1"/>
  <c r="H68" i="237"/>
  <c r="H69" i="237"/>
  <c r="D78" i="177"/>
  <c r="D79" i="177"/>
  <c r="D72" i="177"/>
  <c r="D73" i="177"/>
  <c r="D95" i="177"/>
  <c r="D96" i="177"/>
  <c r="E91" i="290" l="1"/>
  <c r="E15" i="290" s="1"/>
  <c r="E73" i="290"/>
  <c r="E57" i="290"/>
  <c r="E51" i="290"/>
  <c r="E38" i="290"/>
  <c r="E28" i="290"/>
  <c r="N4" i="290"/>
  <c r="E90" i="290"/>
  <c r="E72" i="290"/>
  <c r="E56" i="290"/>
  <c r="E50" i="290"/>
  <c r="E37" i="290"/>
  <c r="E27" i="290"/>
  <c r="M4" i="290"/>
  <c r="E98" i="290"/>
  <c r="E17" i="290" s="1"/>
  <c r="E89" i="290"/>
  <c r="E71" i="290"/>
  <c r="E55" i="290"/>
  <c r="E49" i="290"/>
  <c r="E36" i="290"/>
  <c r="E26" i="290"/>
  <c r="L4" i="290"/>
  <c r="E82" i="290"/>
  <c r="E12" i="290" s="1"/>
  <c r="E88" i="290"/>
  <c r="E65" i="290"/>
  <c r="E10" i="290" s="1"/>
  <c r="E54" i="290"/>
  <c r="E44" i="290"/>
  <c r="E34" i="290"/>
  <c r="E19" i="290"/>
  <c r="K4" i="290"/>
  <c r="E96" i="290"/>
  <c r="E16" i="290" s="1"/>
  <c r="E80" i="290"/>
  <c r="E11" i="290" s="1"/>
  <c r="E62" i="290"/>
  <c r="E48" i="290"/>
  <c r="E43" i="290"/>
  <c r="E33" i="290"/>
  <c r="J4" i="290"/>
  <c r="E95" i="290"/>
  <c r="E78" i="290"/>
  <c r="E61" i="290"/>
  <c r="E47" i="290"/>
  <c r="E42" i="290"/>
  <c r="E32" i="290"/>
  <c r="I4" i="290"/>
  <c r="E94" i="290"/>
  <c r="E77" i="290"/>
  <c r="E60" i="290"/>
  <c r="E46" i="290"/>
  <c r="E41" i="290"/>
  <c r="E31" i="290"/>
  <c r="E93" i="290"/>
  <c r="E76" i="290"/>
  <c r="E59" i="290"/>
  <c r="E52" i="290"/>
  <c r="E39" i="290"/>
  <c r="E29" i="290"/>
  <c r="M23" i="282"/>
  <c r="J46" i="288"/>
  <c r="H46" i="288"/>
  <c r="N23" i="282"/>
  <c r="N39" i="282"/>
  <c r="M39" i="282"/>
  <c r="I8" i="282"/>
  <c r="AE46" i="288"/>
  <c r="K8" i="282"/>
  <c r="AC46" i="288"/>
  <c r="M68" i="275"/>
  <c r="M62" i="275"/>
  <c r="M55" i="275"/>
  <c r="I56" i="275"/>
  <c r="M10" i="275"/>
  <c r="B17" i="274" s="1"/>
  <c r="I71" i="275"/>
  <c r="I65" i="275"/>
  <c r="M54" i="275"/>
  <c r="I55" i="275"/>
  <c r="I11" i="275"/>
  <c r="I64" i="275"/>
  <c r="I10" i="275"/>
  <c r="B15" i="274" s="1"/>
  <c r="I75" i="275"/>
  <c r="B9" i="274" s="1"/>
  <c r="M53" i="275"/>
  <c r="M52" i="275"/>
  <c r="M75" i="275"/>
  <c r="B11" i="274" s="1"/>
  <c r="I70" i="275"/>
  <c r="I54" i="275"/>
  <c r="I53" i="275"/>
  <c r="M73" i="275"/>
  <c r="I69" i="275"/>
  <c r="I63" i="275"/>
  <c r="I73" i="275"/>
  <c r="I68" i="275"/>
  <c r="I62" i="275"/>
  <c r="M51" i="275"/>
  <c r="I52" i="275"/>
  <c r="M65" i="275"/>
  <c r="M58" i="275"/>
  <c r="M50" i="275"/>
  <c r="I51" i="275"/>
  <c r="M57" i="275"/>
  <c r="M63" i="275"/>
  <c r="M71" i="275"/>
  <c r="I58" i="275"/>
  <c r="I57" i="275"/>
  <c r="M70" i="275"/>
  <c r="M64" i="275"/>
  <c r="I50" i="275"/>
  <c r="M11" i="275"/>
  <c r="M69" i="275"/>
  <c r="M56" i="275"/>
  <c r="J45" i="275"/>
  <c r="G1" i="284"/>
  <c r="F1" i="284"/>
  <c r="I1" i="284"/>
  <c r="H1" i="284"/>
  <c r="H17" i="284"/>
  <c r="J105" i="278"/>
  <c r="J108" i="278" s="1"/>
  <c r="I17" i="284"/>
  <c r="G17" i="284"/>
  <c r="F16" i="284"/>
  <c r="H16" i="284"/>
  <c r="I16" i="284"/>
  <c r="G16" i="284"/>
  <c r="F17" i="284"/>
  <c r="G5" i="284"/>
  <c r="F5" i="284"/>
  <c r="H5" i="284"/>
  <c r="I5" i="284"/>
  <c r="O118" i="282"/>
  <c r="O123" i="282" s="1"/>
  <c r="N118" i="282"/>
  <c r="N123" i="282" s="1"/>
  <c r="M118" i="282"/>
  <c r="M123" i="282" s="1"/>
  <c r="K118" i="282"/>
  <c r="K147" i="282" s="1"/>
  <c r="J118" i="282"/>
  <c r="J147" i="282" s="1"/>
  <c r="Q118" i="282"/>
  <c r="Q147" i="282" s="1"/>
  <c r="I118" i="282"/>
  <c r="I147" i="282" s="1"/>
  <c r="P118" i="282"/>
  <c r="P123" i="282" s="1"/>
  <c r="L118" i="282"/>
  <c r="L147" i="282" s="1"/>
  <c r="I191" i="249"/>
  <c r="I190" i="249"/>
  <c r="I154" i="249"/>
  <c r="I153" i="249"/>
  <c r="I151" i="249"/>
  <c r="I150" i="249"/>
  <c r="J278" i="242"/>
  <c r="J303" i="242"/>
  <c r="J286" i="242"/>
  <c r="J295" i="242"/>
  <c r="F318" i="242"/>
  <c r="F325" i="242"/>
  <c r="F314" i="242"/>
  <c r="F321" i="242"/>
  <c r="F215" i="249"/>
  <c r="F212" i="249"/>
  <c r="I119" i="249"/>
  <c r="I118" i="249"/>
  <c r="F141" i="249"/>
  <c r="F178" i="249"/>
  <c r="F138" i="249"/>
  <c r="F175" i="249"/>
  <c r="F132" i="249"/>
  <c r="F209" i="249"/>
  <c r="I188" i="249"/>
  <c r="F205" i="249"/>
  <c r="I187" i="249"/>
  <c r="F168" i="249"/>
  <c r="F135" i="249"/>
  <c r="F172" i="249"/>
  <c r="I116" i="249"/>
  <c r="I115" i="249"/>
  <c r="O238" i="203"/>
  <c r="N238" i="203"/>
  <c r="K238" i="203"/>
  <c r="J238" i="203"/>
  <c r="Q238" i="203"/>
  <c r="P238" i="203"/>
  <c r="M238" i="203"/>
  <c r="L238" i="203"/>
  <c r="Q225" i="203"/>
  <c r="P225" i="203"/>
  <c r="M225" i="203"/>
  <c r="L225" i="203"/>
  <c r="O225" i="203"/>
  <c r="N225" i="203"/>
  <c r="K225" i="203"/>
  <c r="J225" i="203"/>
  <c r="Q211" i="203"/>
  <c r="P211" i="203"/>
  <c r="O211" i="203"/>
  <c r="N211" i="203"/>
  <c r="L211" i="203"/>
  <c r="M211" i="203"/>
  <c r="J211" i="203"/>
  <c r="K211" i="203"/>
  <c r="J195" i="242"/>
  <c r="J186" i="242"/>
  <c r="J178" i="242"/>
  <c r="J203" i="242"/>
  <c r="F121" i="242"/>
  <c r="F214" i="242"/>
  <c r="F221" i="242"/>
  <c r="F218" i="242"/>
  <c r="F225" i="242"/>
  <c r="J93" i="242"/>
  <c r="J103" i="242"/>
  <c r="F125" i="242"/>
  <c r="J84" i="242"/>
  <c r="J76" i="242"/>
  <c r="F118" i="242"/>
  <c r="F114" i="242"/>
  <c r="M200" i="202"/>
  <c r="L200" i="202"/>
  <c r="M181" i="202"/>
  <c r="L181" i="202"/>
  <c r="M238" i="202"/>
  <c r="L238" i="202"/>
  <c r="M219" i="202"/>
  <c r="L219" i="202"/>
  <c r="O181" i="202"/>
  <c r="N181" i="202"/>
  <c r="O238" i="202"/>
  <c r="N238" i="202"/>
  <c r="O219" i="202"/>
  <c r="N219" i="202"/>
  <c r="O200" i="202"/>
  <c r="N200" i="202"/>
  <c r="M196" i="187"/>
  <c r="L196" i="187"/>
  <c r="M177" i="187"/>
  <c r="L177" i="187"/>
  <c r="M234" i="187"/>
  <c r="L234" i="187"/>
  <c r="M215" i="187"/>
  <c r="L215" i="187"/>
  <c r="O177" i="187"/>
  <c r="N177" i="187"/>
  <c r="O234" i="187"/>
  <c r="N234" i="187"/>
  <c r="O215" i="187"/>
  <c r="N215" i="187"/>
  <c r="O196" i="187"/>
  <c r="N196" i="187"/>
  <c r="M113" i="187"/>
  <c r="L113" i="187"/>
  <c r="M94" i="187"/>
  <c r="L94" i="187"/>
  <c r="M151" i="187"/>
  <c r="L151" i="187"/>
  <c r="M132" i="187"/>
  <c r="L132" i="187"/>
  <c r="O94" i="187"/>
  <c r="N94" i="187"/>
  <c r="O151" i="187"/>
  <c r="N151" i="187"/>
  <c r="O132" i="187"/>
  <c r="N132" i="187"/>
  <c r="O113" i="187"/>
  <c r="N113" i="187"/>
  <c r="M205" i="280"/>
  <c r="M54" i="280"/>
  <c r="L205" i="280"/>
  <c r="M186" i="280"/>
  <c r="M158" i="280"/>
  <c r="L54" i="280"/>
  <c r="L186" i="280"/>
  <c r="L158" i="280"/>
  <c r="M35" i="280"/>
  <c r="M139" i="280"/>
  <c r="L35" i="280"/>
  <c r="M16" i="280"/>
  <c r="M243" i="280"/>
  <c r="L139" i="280"/>
  <c r="L16" i="280"/>
  <c r="L243" i="280"/>
  <c r="M120" i="280"/>
  <c r="M224" i="280"/>
  <c r="L120" i="280"/>
  <c r="M101" i="280"/>
  <c r="M73" i="280"/>
  <c r="L224" i="280"/>
  <c r="L101" i="280"/>
  <c r="L73" i="280"/>
  <c r="N186" i="280"/>
  <c r="N158" i="280"/>
  <c r="O35" i="280"/>
  <c r="O139" i="280"/>
  <c r="N35" i="280"/>
  <c r="O16" i="280"/>
  <c r="O243" i="280"/>
  <c r="N139" i="280"/>
  <c r="N16" i="280"/>
  <c r="N243" i="280"/>
  <c r="O120" i="280"/>
  <c r="O224" i="280"/>
  <c r="N120" i="280"/>
  <c r="O101" i="280"/>
  <c r="O73" i="280"/>
  <c r="N224" i="280"/>
  <c r="N101" i="280"/>
  <c r="N73" i="280"/>
  <c r="O205" i="280"/>
  <c r="O54" i="280"/>
  <c r="N205" i="280"/>
  <c r="O186" i="280"/>
  <c r="O158" i="280"/>
  <c r="N54" i="280"/>
  <c r="I62" i="278"/>
  <c r="I61" i="278"/>
  <c r="I90" i="278"/>
  <c r="I89" i="278"/>
  <c r="F108" i="278"/>
  <c r="F104" i="278"/>
  <c r="F428" i="237"/>
  <c r="F79" i="278"/>
  <c r="F75" i="278"/>
  <c r="I32" i="278"/>
  <c r="I31" i="278"/>
  <c r="I407" i="237"/>
  <c r="F424" i="237"/>
  <c r="I406" i="237"/>
  <c r="I340" i="237"/>
  <c r="F357" i="237"/>
  <c r="I339" i="237"/>
  <c r="F296" i="237"/>
  <c r="F361" i="237"/>
  <c r="F45" i="278"/>
  <c r="I275" i="237"/>
  <c r="F292" i="237"/>
  <c r="I274" i="237"/>
  <c r="F49" i="278"/>
  <c r="M192" i="203"/>
  <c r="L165" i="203"/>
  <c r="L192" i="203"/>
  <c r="M146" i="203"/>
  <c r="L146" i="203"/>
  <c r="M179" i="203"/>
  <c r="L179" i="203"/>
  <c r="M165" i="203"/>
  <c r="N146" i="203"/>
  <c r="O179" i="203"/>
  <c r="N179" i="203"/>
  <c r="O165" i="203"/>
  <c r="O192" i="203"/>
  <c r="N165" i="203"/>
  <c r="N192" i="203"/>
  <c r="O146" i="203"/>
  <c r="M126" i="203"/>
  <c r="L99" i="203"/>
  <c r="L126" i="203"/>
  <c r="M80" i="203"/>
  <c r="L80" i="203"/>
  <c r="M113" i="203"/>
  <c r="L113" i="203"/>
  <c r="M99" i="203"/>
  <c r="N80" i="203"/>
  <c r="O113" i="203"/>
  <c r="N113" i="203"/>
  <c r="O99" i="203"/>
  <c r="O126" i="203"/>
  <c r="N99" i="203"/>
  <c r="N126" i="203"/>
  <c r="O80" i="203"/>
  <c r="M130" i="188"/>
  <c r="L130" i="188"/>
  <c r="O130" i="188"/>
  <c r="N130" i="188"/>
  <c r="M77" i="188"/>
  <c r="L77" i="188"/>
  <c r="O77" i="188"/>
  <c r="N77" i="188"/>
  <c r="O15" i="188"/>
  <c r="N15" i="188"/>
  <c r="M15" i="188"/>
  <c r="L15" i="188"/>
  <c r="I83" i="273"/>
  <c r="F100" i="273"/>
  <c r="I82" i="273"/>
  <c r="I29" i="273"/>
  <c r="F46" i="273"/>
  <c r="I28" i="273"/>
  <c r="I56" i="273"/>
  <c r="F73" i="273"/>
  <c r="I55" i="273"/>
  <c r="F69" i="273"/>
  <c r="F96" i="273"/>
  <c r="F42" i="273"/>
  <c r="M14" i="203"/>
  <c r="L14" i="203"/>
  <c r="O14" i="203"/>
  <c r="N14" i="203"/>
  <c r="I89" i="249"/>
  <c r="F106" i="249"/>
  <c r="I88" i="249"/>
  <c r="F52" i="249"/>
  <c r="I62" i="249"/>
  <c r="F79" i="249"/>
  <c r="I61" i="249"/>
  <c r="F75" i="249"/>
  <c r="I35" i="249"/>
  <c r="I34" i="249"/>
  <c r="F102" i="249"/>
  <c r="F48" i="249"/>
  <c r="M129" i="195"/>
  <c r="L129" i="195"/>
  <c r="O129" i="195"/>
  <c r="N129" i="195"/>
  <c r="M76" i="195"/>
  <c r="L76" i="195"/>
  <c r="O76" i="195"/>
  <c r="N76" i="195"/>
  <c r="N14" i="195"/>
  <c r="O14" i="195"/>
  <c r="L14" i="195"/>
  <c r="M14" i="195"/>
  <c r="F69" i="247"/>
  <c r="F96" i="247"/>
  <c r="F42" i="247"/>
  <c r="I83" i="247"/>
  <c r="F100" i="247"/>
  <c r="I82" i="247"/>
  <c r="I29" i="247"/>
  <c r="F46" i="247"/>
  <c r="I28" i="247"/>
  <c r="I56" i="247"/>
  <c r="F73" i="247"/>
  <c r="I55" i="247"/>
  <c r="I83" i="272"/>
  <c r="F100" i="272"/>
  <c r="I82" i="272"/>
  <c r="F69" i="272"/>
  <c r="F96" i="272"/>
  <c r="I56" i="272"/>
  <c r="I29" i="272"/>
  <c r="I28" i="272"/>
  <c r="F73" i="272"/>
  <c r="I55" i="272"/>
  <c r="F42" i="272"/>
  <c r="F46" i="272"/>
  <c r="M117" i="202"/>
  <c r="L117" i="202"/>
  <c r="M98" i="202"/>
  <c r="L98" i="202"/>
  <c r="M155" i="202"/>
  <c r="L155" i="202"/>
  <c r="M136" i="202"/>
  <c r="L136" i="202"/>
  <c r="O98" i="202"/>
  <c r="N98" i="202"/>
  <c r="O155" i="202"/>
  <c r="N155" i="202"/>
  <c r="O136" i="202"/>
  <c r="N136" i="202"/>
  <c r="O117" i="202"/>
  <c r="N117" i="202"/>
  <c r="O15" i="202"/>
  <c r="N15" i="202"/>
  <c r="O72" i="202"/>
  <c r="N72" i="202"/>
  <c r="O53" i="202"/>
  <c r="N53" i="202"/>
  <c r="N34" i="202"/>
  <c r="O34" i="202"/>
  <c r="M34" i="202"/>
  <c r="L34" i="202"/>
  <c r="M15" i="202"/>
  <c r="L15" i="202"/>
  <c r="M72" i="202"/>
  <c r="L72" i="202"/>
  <c r="M53" i="202"/>
  <c r="L53" i="202"/>
  <c r="I209" i="237"/>
  <c r="F230" i="237"/>
  <c r="I208" i="237"/>
  <c r="F158" i="237"/>
  <c r="F226" i="237"/>
  <c r="I138" i="237"/>
  <c r="F162" i="237"/>
  <c r="I137" i="237"/>
  <c r="N70" i="187"/>
  <c r="O32" i="187"/>
  <c r="N32" i="187"/>
  <c r="O51" i="187"/>
  <c r="N51" i="187"/>
  <c r="O13" i="187"/>
  <c r="O70" i="187"/>
  <c r="N13" i="187"/>
  <c r="M13" i="187"/>
  <c r="M70" i="187"/>
  <c r="L13" i="187"/>
  <c r="L70" i="187"/>
  <c r="M32" i="187"/>
  <c r="L32" i="187"/>
  <c r="M51" i="187"/>
  <c r="L51" i="187"/>
  <c r="F87" i="237"/>
  <c r="I69" i="237"/>
  <c r="I68" i="237"/>
  <c r="F91" i="237"/>
  <c r="I84" i="235"/>
  <c r="I85" i="235"/>
  <c r="I57" i="235"/>
  <c r="I56" i="235"/>
  <c r="L244" i="182"/>
  <c r="M206" i="182"/>
  <c r="L206" i="182"/>
  <c r="M225" i="182"/>
  <c r="L225" i="182"/>
  <c r="M187" i="182"/>
  <c r="M244" i="182"/>
  <c r="L187" i="182"/>
  <c r="O206" i="182"/>
  <c r="N206" i="182"/>
  <c r="O225" i="182"/>
  <c r="N225" i="182"/>
  <c r="O187" i="182"/>
  <c r="O244" i="182"/>
  <c r="N187" i="182"/>
  <c r="N244" i="182"/>
  <c r="L159" i="182"/>
  <c r="M121" i="182"/>
  <c r="L121" i="182"/>
  <c r="M140" i="182"/>
  <c r="L140" i="182"/>
  <c r="M102" i="182"/>
  <c r="M159" i="182"/>
  <c r="L102" i="182"/>
  <c r="F99" i="235"/>
  <c r="O121" i="182"/>
  <c r="N121" i="182"/>
  <c r="O140" i="182"/>
  <c r="N140" i="182"/>
  <c r="O102" i="182"/>
  <c r="O159" i="182"/>
  <c r="N102" i="182"/>
  <c r="N159" i="182"/>
  <c r="F103" i="235"/>
  <c r="F47" i="235"/>
  <c r="F75" i="235"/>
  <c r="F43" i="235"/>
  <c r="F71" i="235"/>
  <c r="Q73" i="179"/>
  <c r="P73" i="179"/>
  <c r="Q103" i="179"/>
  <c r="P103" i="179"/>
  <c r="O73" i="179"/>
  <c r="O103" i="179"/>
  <c r="N103" i="179"/>
  <c r="I29" i="235"/>
  <c r="N73" i="179"/>
  <c r="I28" i="235"/>
  <c r="H24" i="179"/>
  <c r="D307" i="177"/>
  <c r="D308" i="177"/>
  <c r="D313" i="177"/>
  <c r="D314" i="177"/>
  <c r="J19" i="231"/>
  <c r="D127" i="271"/>
  <c r="D122" i="271"/>
  <c r="D117" i="271"/>
  <c r="D111" i="271"/>
  <c r="D91" i="271"/>
  <c r="D86" i="271"/>
  <c r="D81" i="271"/>
  <c r="D75" i="271"/>
  <c r="J39" i="275"/>
  <c r="N79" i="288" s="1"/>
  <c r="J32" i="275"/>
  <c r="N71" i="288" s="1"/>
  <c r="J28" i="275"/>
  <c r="J24" i="275"/>
  <c r="J8" i="271"/>
  <c r="E49" i="242"/>
  <c r="E50" i="242"/>
  <c r="E45" i="242"/>
  <c r="E46" i="242"/>
  <c r="E40" i="242"/>
  <c r="E41" i="242"/>
  <c r="M9" i="282" l="1"/>
  <c r="J9" i="282"/>
  <c r="AC59" i="288"/>
  <c r="N59" i="288"/>
  <c r="K9" i="282"/>
  <c r="I9" i="282"/>
  <c r="N28" i="275"/>
  <c r="N66" i="288"/>
  <c r="AC66" i="288"/>
  <c r="F33" i="290"/>
  <c r="G33" i="290" s="1"/>
  <c r="F32" i="290"/>
  <c r="G32" i="290" s="1"/>
  <c r="H18" i="284"/>
  <c r="H49" i="284" s="1"/>
  <c r="I18" i="284"/>
  <c r="I49" i="284" s="1"/>
  <c r="N52" i="275"/>
  <c r="J52" i="275"/>
  <c r="G18" i="284"/>
  <c r="F18" i="284"/>
  <c r="F49" i="284" s="1"/>
  <c r="Q134" i="282"/>
  <c r="Q139" i="282"/>
  <c r="Q123" i="282"/>
  <c r="Q129" i="282"/>
  <c r="P134" i="282"/>
  <c r="P137" i="282" s="1"/>
  <c r="P129" i="282"/>
  <c r="P132" i="282" s="1"/>
  <c r="M134" i="282"/>
  <c r="M137" i="282" s="1"/>
  <c r="M129" i="282"/>
  <c r="M132" i="282" s="1"/>
  <c r="N134" i="282"/>
  <c r="N137" i="282" s="1"/>
  <c r="N129" i="282"/>
  <c r="N132" i="282" s="1"/>
  <c r="O134" i="282"/>
  <c r="O137" i="282" s="1"/>
  <c r="O129" i="282"/>
  <c r="O132" i="282" s="1"/>
  <c r="P147" i="282"/>
  <c r="P139" i="282"/>
  <c r="M147" i="282"/>
  <c r="M139" i="282"/>
  <c r="N147" i="282"/>
  <c r="N139" i="282"/>
  <c r="O147" i="282"/>
  <c r="O139" i="282"/>
  <c r="I134" i="282"/>
  <c r="I137" i="282" s="1"/>
  <c r="I139" i="282"/>
  <c r="J134" i="282"/>
  <c r="J137" i="282" s="1"/>
  <c r="J139" i="282"/>
  <c r="K134" i="282"/>
  <c r="K137" i="282" s="1"/>
  <c r="K139" i="282"/>
  <c r="L134" i="282"/>
  <c r="L137" i="282" s="1"/>
  <c r="L139" i="282"/>
  <c r="I123" i="282"/>
  <c r="I129" i="282"/>
  <c r="I132" i="282" s="1"/>
  <c r="J123" i="282"/>
  <c r="J129" i="282"/>
  <c r="J132" i="282" s="1"/>
  <c r="K123" i="282"/>
  <c r="K129" i="282"/>
  <c r="K132" i="282" s="1"/>
  <c r="L123" i="282"/>
  <c r="L129" i="282"/>
  <c r="L132" i="282" s="1"/>
  <c r="N39" i="275"/>
  <c r="N32" i="275"/>
  <c r="N24" i="275"/>
  <c r="E103" i="237"/>
  <c r="E107" i="237" s="1"/>
  <c r="E42" i="237"/>
  <c r="E45" i="237" s="1"/>
  <c r="E109" i="237"/>
  <c r="E112" i="237" s="1"/>
  <c r="E47" i="237"/>
  <c r="E50" i="237" s="1"/>
  <c r="E114" i="237"/>
  <c r="E117" i="237" s="1"/>
  <c r="E52" i="237"/>
  <c r="E58" i="237" s="1"/>
  <c r="E119" i="237"/>
  <c r="E125" i="237" s="1"/>
  <c r="D115" i="271"/>
  <c r="E36" i="237"/>
  <c r="E40" i="237" s="1"/>
  <c r="D120" i="271"/>
  <c r="D125" i="271"/>
  <c r="D133" i="271"/>
  <c r="J41" i="275"/>
  <c r="C22" i="228"/>
  <c r="C27" i="228"/>
  <c r="C32" i="228"/>
  <c r="C16" i="228"/>
  <c r="G34" i="290" l="1"/>
  <c r="G65" i="290" s="1"/>
  <c r="G49" i="284"/>
  <c r="F34" i="290"/>
  <c r="K148" i="282"/>
  <c r="O148" i="282"/>
  <c r="N148" i="282"/>
  <c r="M148" i="282"/>
  <c r="P148" i="282"/>
  <c r="J148" i="282"/>
  <c r="Q137" i="282"/>
  <c r="L148" i="282"/>
  <c r="I148" i="282"/>
  <c r="Q132" i="282"/>
  <c r="N41" i="275"/>
  <c r="J307" i="228"/>
  <c r="J262" i="228"/>
  <c r="F306" i="228"/>
  <c r="F305" i="228"/>
  <c r="F304" i="228"/>
  <c r="I301" i="228"/>
  <c r="I251" i="228"/>
  <c r="H301" i="228"/>
  <c r="H251" i="228"/>
  <c r="G301" i="228"/>
  <c r="G251" i="228"/>
  <c r="I285" i="228"/>
  <c r="I287" i="228" s="1"/>
  <c r="J319" i="228" s="1"/>
  <c r="I236" i="228"/>
  <c r="I238" i="228" s="1"/>
  <c r="J269" i="228" s="1"/>
  <c r="H285" i="228"/>
  <c r="H287" i="228" s="1"/>
  <c r="J318" i="228" s="1"/>
  <c r="H236" i="228"/>
  <c r="H238" i="228" s="1"/>
  <c r="J268" i="228" s="1"/>
  <c r="G285" i="228"/>
  <c r="G287" i="228" s="1"/>
  <c r="J317" i="228" s="1"/>
  <c r="G236" i="228"/>
  <c r="G238" i="228" s="1"/>
  <c r="J267" i="228" s="1"/>
  <c r="C281" i="228"/>
  <c r="C232" i="228"/>
  <c r="F110" i="228"/>
  <c r="F115" i="228"/>
  <c r="F116" i="228"/>
  <c r="F114" i="228"/>
  <c r="E115" i="228"/>
  <c r="E116" i="228"/>
  <c r="E114" i="228"/>
  <c r="E110" i="228"/>
  <c r="J98" i="228"/>
  <c r="J99" i="228"/>
  <c r="J89" i="228"/>
  <c r="J90" i="228"/>
  <c r="F88" i="228"/>
  <c r="F98" i="228"/>
  <c r="F99" i="228"/>
  <c r="F97" i="228"/>
  <c r="E98" i="228"/>
  <c r="E99" i="228"/>
  <c r="E97" i="228"/>
  <c r="E88" i="228"/>
  <c r="F77" i="228"/>
  <c r="F68" i="228"/>
  <c r="E68" i="228"/>
  <c r="E77" i="228"/>
  <c r="J78" i="228"/>
  <c r="J115" i="228" s="1"/>
  <c r="E60" i="284" s="1"/>
  <c r="J79" i="228"/>
  <c r="F78" i="228"/>
  <c r="F79" i="228"/>
  <c r="E78" i="228"/>
  <c r="E79" i="228"/>
  <c r="F214" i="228"/>
  <c r="F166" i="228"/>
  <c r="F213" i="228"/>
  <c r="F165" i="228"/>
  <c r="J215" i="228"/>
  <c r="J167" i="228"/>
  <c r="F212" i="228"/>
  <c r="F164" i="228"/>
  <c r="I204" i="228"/>
  <c r="I185" i="228" s="1"/>
  <c r="I186" i="228" s="1"/>
  <c r="I156" i="228"/>
  <c r="I137" i="228" s="1"/>
  <c r="I138" i="228" s="1"/>
  <c r="H204" i="228"/>
  <c r="H185" i="228" s="1"/>
  <c r="H186" i="228" s="1"/>
  <c r="H156" i="228"/>
  <c r="H137" i="228" s="1"/>
  <c r="H138" i="228" s="1"/>
  <c r="G204" i="228"/>
  <c r="G185" i="228" s="1"/>
  <c r="G186" i="228" s="1"/>
  <c r="G156" i="228"/>
  <c r="G137" i="228" s="1"/>
  <c r="G138" i="228" s="1"/>
  <c r="J69" i="228"/>
  <c r="J70" i="228"/>
  <c r="E18" i="242"/>
  <c r="E19" i="242"/>
  <c r="F111" i="228"/>
  <c r="F112" i="228"/>
  <c r="F89" i="228"/>
  <c r="F90" i="228"/>
  <c r="F69" i="228"/>
  <c r="F70" i="228"/>
  <c r="C182" i="228"/>
  <c r="C134" i="228"/>
  <c r="D320" i="177"/>
  <c r="D321" i="177"/>
  <c r="E111" i="228"/>
  <c r="E112" i="228"/>
  <c r="E89" i="228"/>
  <c r="E90" i="228"/>
  <c r="E69" i="228"/>
  <c r="E70" i="228"/>
  <c r="G10" i="290" l="1"/>
  <c r="F65" i="290"/>
  <c r="Q148" i="282"/>
  <c r="K149" i="282" s="1"/>
  <c r="J116" i="228"/>
  <c r="E61" i="284" s="1"/>
  <c r="B169" i="228"/>
  <c r="B133" i="228"/>
  <c r="B265" i="228"/>
  <c r="B230" i="228"/>
  <c r="B315" i="228"/>
  <c r="B279" i="228"/>
  <c r="B217" i="228"/>
  <c r="B181" i="228"/>
  <c r="J270" i="228"/>
  <c r="F60" i="284" s="1"/>
  <c r="J273" i="228"/>
  <c r="J323" i="228"/>
  <c r="J274" i="228"/>
  <c r="J324" i="228"/>
  <c r="J275" i="228"/>
  <c r="J325" i="228"/>
  <c r="J320" i="228"/>
  <c r="F61" i="284" s="1"/>
  <c r="H61" i="284" s="1"/>
  <c r="J112" i="228"/>
  <c r="J111" i="228"/>
  <c r="J176" i="228"/>
  <c r="G140" i="228"/>
  <c r="J171" i="228" s="1"/>
  <c r="J224" i="228"/>
  <c r="G188" i="228"/>
  <c r="J219" i="228" s="1"/>
  <c r="H140" i="228"/>
  <c r="J172" i="228" s="1"/>
  <c r="J177" i="228"/>
  <c r="H188" i="228"/>
  <c r="J220" i="228" s="1"/>
  <c r="J225" i="228"/>
  <c r="J226" i="228"/>
  <c r="I188" i="228"/>
  <c r="J221" i="228" s="1"/>
  <c r="J178" i="228"/>
  <c r="I140" i="228"/>
  <c r="J173" i="228" s="1"/>
  <c r="C20" i="228"/>
  <c r="C25" i="228"/>
  <c r="C30" i="228"/>
  <c r="C38" i="228"/>
  <c r="F10" i="290" l="1"/>
  <c r="H60" i="284"/>
  <c r="H62" i="284" s="1"/>
  <c r="F62" i="284"/>
  <c r="J41" i="242"/>
  <c r="J240" i="242" s="1"/>
  <c r="J249" i="242" s="1"/>
  <c r="E56" i="284"/>
  <c r="J40" i="242"/>
  <c r="J239" i="242" s="1"/>
  <c r="J248" i="242" s="1"/>
  <c r="E55" i="284"/>
  <c r="N149" i="282"/>
  <c r="J149" i="282"/>
  <c r="O149" i="282"/>
  <c r="I149" i="282"/>
  <c r="P149" i="282"/>
  <c r="M149" i="282"/>
  <c r="L149" i="282"/>
  <c r="Q149" i="282"/>
  <c r="J276" i="228"/>
  <c r="G60" i="284" s="1"/>
  <c r="F76" i="290" s="1"/>
  <c r="G76" i="290" s="1"/>
  <c r="J326" i="228"/>
  <c r="G61" i="284" s="1"/>
  <c r="J227" i="228"/>
  <c r="G56" i="284" s="1"/>
  <c r="J222" i="228"/>
  <c r="F56" i="284" s="1"/>
  <c r="H56" i="284" s="1"/>
  <c r="J174" i="228"/>
  <c r="J179" i="228"/>
  <c r="I61" i="284" l="1"/>
  <c r="F77" i="290"/>
  <c r="G77" i="290" s="1"/>
  <c r="I56" i="284"/>
  <c r="F72" i="290"/>
  <c r="G72" i="290" s="1"/>
  <c r="J139" i="242"/>
  <c r="J148" i="242" s="1"/>
  <c r="J50" i="242"/>
  <c r="J140" i="242"/>
  <c r="J149" i="242" s="1"/>
  <c r="J49" i="242"/>
  <c r="N51" i="275"/>
  <c r="G55" i="284"/>
  <c r="F71" i="290" s="1"/>
  <c r="G71" i="290" s="1"/>
  <c r="I60" i="284"/>
  <c r="G62" i="284"/>
  <c r="F78" i="290" s="1"/>
  <c r="G78" i="290" s="1"/>
  <c r="J51" i="275"/>
  <c r="F55" i="284"/>
  <c r="E57" i="284"/>
  <c r="J250" i="242"/>
  <c r="J259" i="242" s="1"/>
  <c r="G272" i="242" s="1"/>
  <c r="I62" i="284" l="1"/>
  <c r="J51" i="242"/>
  <c r="J57" i="242" s="1"/>
  <c r="G70" i="242" s="1"/>
  <c r="J150" i="242"/>
  <c r="J159" i="242" s="1"/>
  <c r="G172" i="242" s="1"/>
  <c r="H55" i="284"/>
  <c r="H57" i="284" s="1"/>
  <c r="H64" i="284" s="1"/>
  <c r="F57" i="284"/>
  <c r="F64" i="284" s="1"/>
  <c r="G57" i="284"/>
  <c r="I55" i="284"/>
  <c r="I57" i="284" s="1"/>
  <c r="I64" i="284" s="1"/>
  <c r="N58" i="275"/>
  <c r="J48" i="288" s="1"/>
  <c r="D44" i="177"/>
  <c r="D45" i="177"/>
  <c r="D46" i="177"/>
  <c r="D37" i="177"/>
  <c r="D38" i="177"/>
  <c r="D39" i="177"/>
  <c r="D30" i="177"/>
  <c r="D31" i="177"/>
  <c r="D32" i="177"/>
  <c r="G64" i="284" l="1"/>
  <c r="F80" i="290" s="1"/>
  <c r="F73" i="290"/>
  <c r="G73" i="290" s="1"/>
  <c r="G80" i="290" s="1"/>
  <c r="AE48" i="288"/>
  <c r="D31" i="272"/>
  <c r="I36" i="253"/>
  <c r="I35" i="253"/>
  <c r="D175" i="179"/>
  <c r="D177" i="179" s="1"/>
  <c r="D186" i="179"/>
  <c r="D190" i="179" s="1"/>
  <c r="D200" i="179"/>
  <c r="D204" i="179" s="1"/>
  <c r="D218" i="179"/>
  <c r="D222" i="179" s="1"/>
  <c r="D31" i="235"/>
  <c r="M34" i="2"/>
  <c r="I30" i="2" s="1"/>
  <c r="J8" i="242"/>
  <c r="J8" i="247"/>
  <c r="J8" i="249"/>
  <c r="J8" i="237"/>
  <c r="J8" i="235"/>
  <c r="J8" i="228"/>
  <c r="J8" i="231"/>
  <c r="A2" i="9"/>
  <c r="A1" i="9"/>
  <c r="B29" i="9"/>
  <c r="W215" i="179"/>
  <c r="W214" i="179"/>
  <c r="W213" i="179"/>
  <c r="W212" i="179"/>
  <c r="W211" i="179"/>
  <c r="W210" i="179"/>
  <c r="G304" i="242" s="1"/>
  <c r="W209" i="179"/>
  <c r="W208" i="179"/>
  <c r="W207" i="179"/>
  <c r="V215" i="179"/>
  <c r="V214" i="179"/>
  <c r="V213" i="179"/>
  <c r="V212" i="179"/>
  <c r="V211" i="179"/>
  <c r="V210" i="179"/>
  <c r="G296" i="242" s="1"/>
  <c r="V209" i="179"/>
  <c r="V208" i="179"/>
  <c r="V207" i="179"/>
  <c r="V206" i="179"/>
  <c r="G94" i="242" s="1"/>
  <c r="J94" i="242" s="1"/>
  <c r="D254" i="177"/>
  <c r="D255" i="177"/>
  <c r="D256" i="177"/>
  <c r="D257" i="177"/>
  <c r="D258" i="177"/>
  <c r="D259" i="177"/>
  <c r="D260" i="177"/>
  <c r="D261" i="177"/>
  <c r="D262" i="177"/>
  <c r="D263" i="177"/>
  <c r="D264" i="177"/>
  <c r="V197" i="179"/>
  <c r="V196" i="179"/>
  <c r="V195" i="179"/>
  <c r="V194" i="179"/>
  <c r="V193" i="179"/>
  <c r="V192" i="179"/>
  <c r="V191" i="179"/>
  <c r="U197" i="179"/>
  <c r="U196" i="179"/>
  <c r="U195" i="179"/>
  <c r="U194" i="179"/>
  <c r="U193" i="179"/>
  <c r="U192" i="179"/>
  <c r="U191" i="179"/>
  <c r="D243" i="177"/>
  <c r="D244" i="177"/>
  <c r="D245" i="177"/>
  <c r="D246" i="177"/>
  <c r="D247" i="177"/>
  <c r="D248" i="177"/>
  <c r="D249" i="177"/>
  <c r="H19" i="6"/>
  <c r="K30" i="9"/>
  <c r="D17" i="177"/>
  <c r="V227" i="179"/>
  <c r="V226" i="179"/>
  <c r="V225" i="179"/>
  <c r="V224" i="179"/>
  <c r="V223" i="179"/>
  <c r="U227" i="179"/>
  <c r="U226" i="179"/>
  <c r="U225" i="179"/>
  <c r="U224" i="179"/>
  <c r="U223" i="179"/>
  <c r="V183" i="179"/>
  <c r="V182" i="179"/>
  <c r="V181" i="179"/>
  <c r="V180" i="179"/>
  <c r="V179" i="179"/>
  <c r="V178" i="179"/>
  <c r="U183" i="179"/>
  <c r="U182" i="179"/>
  <c r="U181" i="179"/>
  <c r="U180" i="179"/>
  <c r="U179" i="179"/>
  <c r="U178" i="179"/>
  <c r="D233" i="177"/>
  <c r="D234" i="177"/>
  <c r="D235" i="177"/>
  <c r="D236" i="177"/>
  <c r="D237" i="177"/>
  <c r="D238" i="177"/>
  <c r="D269" i="177"/>
  <c r="D270" i="177"/>
  <c r="D271" i="177"/>
  <c r="D272" i="177"/>
  <c r="D273" i="177"/>
  <c r="D79" i="10"/>
  <c r="D80" i="10"/>
  <c r="D81" i="10"/>
  <c r="D82" i="10"/>
  <c r="D83" i="10"/>
  <c r="D84" i="10"/>
  <c r="D85" i="10"/>
  <c r="D86" i="10"/>
  <c r="D87" i="10"/>
  <c r="D88" i="10"/>
  <c r="D89" i="10"/>
  <c r="D90" i="10"/>
  <c r="D47" i="10"/>
  <c r="D48" i="10"/>
  <c r="D49" i="10"/>
  <c r="D50" i="10"/>
  <c r="D51" i="10"/>
  <c r="D52" i="10"/>
  <c r="D53" i="10"/>
  <c r="D54" i="10"/>
  <c r="D55" i="10"/>
  <c r="D56" i="10"/>
  <c r="D57" i="10"/>
  <c r="D58"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G11" i="290" l="1"/>
  <c r="G82" i="290"/>
  <c r="G12" i="290" s="1"/>
  <c r="F11" i="290"/>
  <c r="F82" i="290"/>
  <c r="F12" i="290" s="1"/>
  <c r="J296" i="242"/>
  <c r="J304" i="242"/>
  <c r="G196" i="242"/>
  <c r="J196" i="242" s="1"/>
  <c r="G204" i="242"/>
  <c r="J204" i="242" s="1"/>
  <c r="J6" i="278"/>
  <c r="J6" i="273"/>
  <c r="C68" i="195"/>
  <c r="C169" i="184"/>
  <c r="J6" i="272"/>
  <c r="J6" i="271"/>
  <c r="G322" i="228"/>
  <c r="H326" i="228" s="1"/>
  <c r="G272" i="228"/>
  <c r="H276" i="228" s="1"/>
  <c r="G316" i="228"/>
  <c r="H320" i="228" s="1"/>
  <c r="G266" i="228"/>
  <c r="H270" i="228" s="1"/>
  <c r="H227" i="228"/>
  <c r="H179" i="228"/>
  <c r="G223" i="228"/>
  <c r="G175" i="228"/>
  <c r="H222" i="228"/>
  <c r="H174" i="228"/>
  <c r="G218" i="228"/>
  <c r="G170" i="228"/>
  <c r="C66" i="184"/>
  <c r="C118" i="184"/>
  <c r="M55" i="182"/>
  <c r="M135" i="184"/>
  <c r="M43" i="188"/>
  <c r="O177" i="179"/>
  <c r="L36" i="182"/>
  <c r="L57" i="188"/>
  <c r="L150" i="188"/>
  <c r="S222" i="179"/>
  <c r="M47" i="203"/>
  <c r="L96" i="195"/>
  <c r="S190" i="179"/>
  <c r="M140" i="188"/>
  <c r="C73" i="182"/>
  <c r="D90" i="182" s="1"/>
  <c r="C162" i="195"/>
  <c r="C163" i="188"/>
  <c r="C30" i="184"/>
  <c r="O110" i="195"/>
  <c r="C138" i="195"/>
  <c r="D101" i="179"/>
  <c r="D103" i="179" s="1"/>
  <c r="U177" i="179"/>
  <c r="N108" i="184"/>
  <c r="C32" i="195"/>
  <c r="C32" i="203"/>
  <c r="C35" i="182"/>
  <c r="D52" i="182" s="1"/>
  <c r="C83" i="184"/>
  <c r="C86" i="188"/>
  <c r="C134" i="184"/>
  <c r="C139" i="188"/>
  <c r="C85" i="195"/>
  <c r="C33" i="188"/>
  <c r="N164" i="188"/>
  <c r="N47" i="203"/>
  <c r="O60" i="203"/>
  <c r="Q222" i="179"/>
  <c r="O86" i="195"/>
  <c r="S204" i="179"/>
  <c r="O87" i="188"/>
  <c r="N36" i="182"/>
  <c r="N33" i="203"/>
  <c r="O31" i="184"/>
  <c r="P117" i="179"/>
  <c r="M163" i="195"/>
  <c r="M87" i="188"/>
  <c r="O222" i="179"/>
  <c r="L33" i="203"/>
  <c r="L84" i="184"/>
  <c r="L139" i="195"/>
  <c r="L34" i="188"/>
  <c r="P177" i="179"/>
  <c r="N117" i="179"/>
  <c r="L87" i="188"/>
  <c r="L86" i="195"/>
  <c r="M74" i="182"/>
  <c r="L135" i="184"/>
  <c r="M57" i="188"/>
  <c r="L17" i="182"/>
  <c r="L108" i="184"/>
  <c r="M56" i="195"/>
  <c r="M74" i="184"/>
  <c r="M33" i="195"/>
  <c r="L159" i="184"/>
  <c r="M164" i="188"/>
  <c r="N146" i="179"/>
  <c r="M110" i="195"/>
  <c r="L47" i="203"/>
  <c r="U204" i="179"/>
  <c r="L42" i="195"/>
  <c r="L55" i="182"/>
  <c r="M150" i="188"/>
  <c r="O190" i="179"/>
  <c r="O146" i="179"/>
  <c r="L60" i="203"/>
  <c r="L54" i="184"/>
  <c r="Q204" i="179"/>
  <c r="M54" i="184"/>
  <c r="M96" i="195"/>
  <c r="T190" i="179"/>
  <c r="M84" i="184"/>
  <c r="M139" i="195"/>
  <c r="L33" i="195"/>
  <c r="M17" i="182"/>
  <c r="M94" i="184"/>
  <c r="M149" i="195"/>
  <c r="L31" i="184"/>
  <c r="M111" i="188"/>
  <c r="T222" i="179"/>
  <c r="M42" i="195"/>
  <c r="L145" i="184"/>
  <c r="L43" i="188"/>
  <c r="M31" i="184"/>
  <c r="L140" i="188"/>
  <c r="S177" i="179"/>
  <c r="M60" i="203"/>
  <c r="L94" i="184"/>
  <c r="M145" i="184"/>
  <c r="L97" i="188"/>
  <c r="P222" i="179"/>
  <c r="L74" i="184"/>
  <c r="M33" i="203"/>
  <c r="L164" i="188"/>
  <c r="P204" i="179"/>
  <c r="M86" i="195"/>
  <c r="M36" i="182"/>
  <c r="M97" i="188"/>
  <c r="M108" i="184"/>
  <c r="O54" i="184"/>
  <c r="N57" i="188"/>
  <c r="O125" i="184"/>
  <c r="U222" i="179"/>
  <c r="N135" i="184"/>
  <c r="O40" i="184"/>
  <c r="N55" i="182"/>
  <c r="O139" i="195"/>
  <c r="N56" i="195"/>
  <c r="R204" i="179"/>
  <c r="N111" i="188"/>
  <c r="Q117" i="179"/>
  <c r="O74" i="184"/>
  <c r="O149" i="195"/>
  <c r="O94" i="184"/>
  <c r="O57" i="188"/>
  <c r="N150" i="188"/>
  <c r="U190" i="179"/>
  <c r="N140" i="188"/>
  <c r="N86" i="195"/>
  <c r="N149" i="195"/>
  <c r="N40" i="184"/>
  <c r="N139" i="195"/>
  <c r="O33" i="195"/>
  <c r="O164" i="188"/>
  <c r="N159" i="184"/>
  <c r="Q177" i="179"/>
  <c r="O43" i="188"/>
  <c r="N125" i="184"/>
  <c r="V204" i="179"/>
  <c r="O135" i="184"/>
  <c r="O159" i="184"/>
  <c r="P146" i="179"/>
  <c r="O17" i="182"/>
  <c r="N42" i="195"/>
  <c r="O42" i="195"/>
  <c r="N34" i="188"/>
  <c r="N54" i="184"/>
  <c r="N87" i="188"/>
  <c r="N94" i="184"/>
  <c r="O97" i="188"/>
  <c r="N31" i="184"/>
  <c r="O12" i="184"/>
  <c r="O150" i="188"/>
  <c r="Q146" i="179"/>
  <c r="N96" i="195"/>
  <c r="O36" i="182"/>
  <c r="R177" i="179"/>
  <c r="R190" i="179"/>
  <c r="O111" i="188"/>
  <c r="O33" i="203"/>
  <c r="N12" i="184"/>
  <c r="O84" i="184"/>
  <c r="O108" i="184"/>
  <c r="N60" i="203"/>
  <c r="V190" i="179"/>
  <c r="N33" i="195"/>
  <c r="O55" i="182"/>
  <c r="V177" i="179"/>
  <c r="N43" i="188"/>
  <c r="O47" i="203"/>
  <c r="N17" i="182"/>
  <c r="N110" i="195"/>
  <c r="R222" i="179"/>
  <c r="O140" i="188"/>
  <c r="O145" i="184"/>
  <c r="N74" i="184"/>
  <c r="O74" i="182"/>
  <c r="O56" i="195"/>
  <c r="N74" i="182"/>
  <c r="O34" i="188"/>
  <c r="N84" i="184"/>
  <c r="N145" i="184"/>
  <c r="Q190" i="179"/>
  <c r="O96" i="195"/>
  <c r="V222" i="179"/>
  <c r="N97" i="188"/>
  <c r="O163" i="195"/>
  <c r="N163" i="195"/>
  <c r="W204" i="179"/>
  <c r="C158" i="184"/>
  <c r="D144" i="179"/>
  <c r="D146" i="179" s="1"/>
  <c r="C53" i="184"/>
  <c r="C107" i="184"/>
  <c r="C56" i="188"/>
  <c r="C55" i="195"/>
  <c r="C59" i="203"/>
  <c r="C110" i="188"/>
  <c r="C109" i="195"/>
  <c r="L125" i="184"/>
  <c r="M40" i="184"/>
  <c r="L74" i="182"/>
  <c r="L40" i="184"/>
  <c r="L163" i="195"/>
  <c r="M125" i="184"/>
  <c r="M34" i="188"/>
  <c r="T204" i="179"/>
  <c r="M159" i="184"/>
  <c r="L111" i="188"/>
  <c r="T177" i="179"/>
  <c r="P190" i="179"/>
  <c r="O117" i="179"/>
  <c r="L12" i="184"/>
  <c r="L56" i="195"/>
  <c r="M12" i="184"/>
  <c r="L110" i="195"/>
  <c r="L149" i="195"/>
  <c r="C95" i="195"/>
  <c r="C39" i="184"/>
  <c r="C42" i="188"/>
  <c r="C46" i="203"/>
  <c r="C148" i="195"/>
  <c r="C93" i="184"/>
  <c r="C41" i="195"/>
  <c r="C54" i="182"/>
  <c r="D71" i="182" s="1"/>
  <c r="C144" i="184"/>
  <c r="D115" i="179"/>
  <c r="D117" i="179" s="1"/>
  <c r="C96" i="188"/>
  <c r="C149" i="188"/>
  <c r="W205" i="179"/>
  <c r="U206" i="179"/>
  <c r="T213" i="179"/>
  <c r="U212" i="179"/>
  <c r="T215" i="179"/>
  <c r="T207" i="179"/>
  <c r="H30" i="2"/>
  <c r="U213" i="179"/>
  <c r="T208" i="179"/>
  <c r="J6" i="237"/>
  <c r="U214" i="179"/>
  <c r="U210" i="179"/>
  <c r="V205" i="179"/>
  <c r="S193" i="179"/>
  <c r="T225" i="179"/>
  <c r="T193" i="179"/>
  <c r="T209" i="179"/>
  <c r="T179" i="179"/>
  <c r="U211" i="179"/>
  <c r="S178" i="179"/>
  <c r="T180" i="179"/>
  <c r="S223" i="179"/>
  <c r="T226" i="179"/>
  <c r="S194" i="179"/>
  <c r="T194" i="179"/>
  <c r="T210" i="179"/>
  <c r="U215" i="179"/>
  <c r="S179" i="179"/>
  <c r="T181" i="179"/>
  <c r="S224" i="179"/>
  <c r="T227" i="179"/>
  <c r="S195" i="179"/>
  <c r="T195" i="179"/>
  <c r="T211" i="179"/>
  <c r="S180" i="179"/>
  <c r="T182" i="179"/>
  <c r="S225" i="179"/>
  <c r="S196" i="179"/>
  <c r="T196" i="179"/>
  <c r="T212" i="179"/>
  <c r="S181" i="179"/>
  <c r="T183" i="179"/>
  <c r="S226" i="179"/>
  <c r="T197" i="179"/>
  <c r="T214" i="179"/>
  <c r="S182" i="179"/>
  <c r="S227" i="179"/>
  <c r="S197" i="179"/>
  <c r="S183" i="179"/>
  <c r="T223" i="179"/>
  <c r="S191" i="179"/>
  <c r="T191" i="179"/>
  <c r="U208" i="179"/>
  <c r="T178" i="179"/>
  <c r="T224" i="179"/>
  <c r="S192" i="179"/>
  <c r="T192" i="179"/>
  <c r="H20" i="6"/>
  <c r="J6" i="235"/>
  <c r="J6" i="242"/>
  <c r="J6" i="231"/>
  <c r="J6" i="249"/>
  <c r="W206" i="179"/>
  <c r="G104" i="242" s="1"/>
  <c r="J104" i="242" s="1"/>
  <c r="D13" i="179"/>
  <c r="J6" i="228"/>
  <c r="J6" i="247"/>
  <c r="G297" i="242" l="1"/>
  <c r="J297" i="242" s="1"/>
  <c r="G298" i="242"/>
  <c r="J298" i="242" s="1"/>
  <c r="G299" i="242"/>
  <c r="J299" i="242" s="1"/>
  <c r="G300" i="242"/>
  <c r="J300" i="242" s="1"/>
  <c r="G305" i="242"/>
  <c r="J305" i="242" s="1"/>
  <c r="G306" i="242"/>
  <c r="J306" i="242" s="1"/>
  <c r="G307" i="242"/>
  <c r="J307" i="242" s="1"/>
  <c r="G308" i="242"/>
  <c r="J308" i="242" s="1"/>
  <c r="G197" i="242"/>
  <c r="J197" i="242" s="1"/>
  <c r="G198" i="242"/>
  <c r="J198" i="242" s="1"/>
  <c r="G199" i="242"/>
  <c r="J199" i="242" s="1"/>
  <c r="G95" i="242"/>
  <c r="J95" i="242" s="1"/>
  <c r="G200" i="242"/>
  <c r="J200" i="242" s="1"/>
  <c r="G96" i="242"/>
  <c r="J96" i="242" s="1"/>
  <c r="G97" i="242"/>
  <c r="J97" i="242" s="1"/>
  <c r="G98" i="242"/>
  <c r="J98" i="242" s="1"/>
  <c r="G108" i="242"/>
  <c r="J108" i="242" s="1"/>
  <c r="G205" i="242"/>
  <c r="J205" i="242" s="1"/>
  <c r="G206" i="242"/>
  <c r="J206" i="242" s="1"/>
  <c r="G207" i="242"/>
  <c r="J207" i="242" s="1"/>
  <c r="G105" i="242"/>
  <c r="J105" i="242" s="1"/>
  <c r="G208" i="242"/>
  <c r="J208" i="242" s="1"/>
  <c r="G106" i="242"/>
  <c r="J106" i="242" s="1"/>
  <c r="G107" i="242"/>
  <c r="J107" i="242" s="1"/>
  <c r="J7" i="278"/>
  <c r="J7" i="273"/>
  <c r="J7" i="272"/>
  <c r="J7" i="271"/>
  <c r="J9" i="271" s="1"/>
  <c r="O40" i="188"/>
  <c r="O146" i="195"/>
  <c r="N108" i="188"/>
  <c r="N161" i="188"/>
  <c r="N146" i="195"/>
  <c r="N94" i="188"/>
  <c r="O161" i="188"/>
  <c r="N40" i="188"/>
  <c r="O118" i="195"/>
  <c r="N116" i="184"/>
  <c r="N118" i="195"/>
  <c r="N81" i="184"/>
  <c r="N172" i="188"/>
  <c r="O53" i="195"/>
  <c r="O54" i="188"/>
  <c r="O51" i="184"/>
  <c r="N53" i="195"/>
  <c r="N51" i="184"/>
  <c r="N54" i="188"/>
  <c r="O105" i="184"/>
  <c r="O160" i="195"/>
  <c r="N160" i="195"/>
  <c r="N105" i="184"/>
  <c r="O107" i="195"/>
  <c r="O108" i="188"/>
  <c r="O156" i="184"/>
  <c r="N156" i="184"/>
  <c r="N107" i="195"/>
  <c r="N67" i="188"/>
  <c r="N167" i="184"/>
  <c r="O37" i="184"/>
  <c r="O94" i="188"/>
  <c r="N64" i="184"/>
  <c r="N119" i="188"/>
  <c r="O93" i="195"/>
  <c r="O91" i="184"/>
  <c r="O39" i="195"/>
  <c r="O142" i="184"/>
  <c r="O147" i="188"/>
  <c r="N39" i="195"/>
  <c r="N147" i="188"/>
  <c r="N37" i="184"/>
  <c r="N93" i="195"/>
  <c r="N142" i="184"/>
  <c r="N91" i="184"/>
  <c r="U205" i="179"/>
  <c r="J7" i="235"/>
  <c r="J9" i="235" s="1"/>
  <c r="O64" i="184"/>
  <c r="O119" i="188"/>
  <c r="O67" i="188"/>
  <c r="O172" i="188"/>
  <c r="O167" i="184"/>
  <c r="O116" i="184"/>
  <c r="O81" i="184"/>
  <c r="O83" i="195"/>
  <c r="T205" i="179"/>
  <c r="N83" i="195"/>
  <c r="U207" i="179"/>
  <c r="U209" i="179"/>
  <c r="T206" i="179"/>
  <c r="J7" i="249"/>
  <c r="J9" i="249" s="1"/>
  <c r="H22" i="6"/>
  <c r="J7" i="237"/>
  <c r="J9" i="237" s="1"/>
  <c r="H21" i="6"/>
  <c r="J7" i="247"/>
  <c r="J9" i="247" s="1"/>
  <c r="J7" i="228"/>
  <c r="J9" i="228" s="1"/>
  <c r="J7" i="242"/>
  <c r="J9" i="242" s="1"/>
  <c r="J7" i="231"/>
  <c r="J9" i="231" s="1"/>
  <c r="H23" i="6"/>
  <c r="J309" i="242" l="1"/>
  <c r="J301" i="242"/>
  <c r="J209" i="242"/>
  <c r="J109" i="242"/>
  <c r="J123" i="242" s="1"/>
  <c r="J201" i="242"/>
  <c r="J99" i="242"/>
  <c r="J9" i="278"/>
  <c r="J9" i="273"/>
  <c r="J9" i="272"/>
  <c r="N171" i="195"/>
  <c r="N173" i="195" s="1"/>
  <c r="O66" i="195"/>
  <c r="O68" i="195" s="1"/>
  <c r="N66" i="195"/>
  <c r="N68" i="195" s="1"/>
  <c r="O171" i="195"/>
  <c r="O173" i="195" s="1"/>
  <c r="N92" i="182"/>
  <c r="O92" i="182"/>
  <c r="M54" i="188"/>
  <c r="L54" i="188"/>
  <c r="M51" i="184"/>
  <c r="M53" i="195"/>
  <c r="L51" i="184"/>
  <c r="L53" i="195"/>
  <c r="K20" i="2"/>
  <c r="M20" i="2" s="1"/>
  <c r="M107" i="195"/>
  <c r="M161" i="188"/>
  <c r="M108" i="188"/>
  <c r="L108" i="188"/>
  <c r="L160" i="195"/>
  <c r="M160" i="195"/>
  <c r="L107" i="195"/>
  <c r="L161" i="188"/>
  <c r="L105" i="184"/>
  <c r="L156" i="184"/>
  <c r="M105" i="184"/>
  <c r="M156" i="184"/>
  <c r="N120" i="195"/>
  <c r="N121" i="188"/>
  <c r="N118" i="184"/>
  <c r="N174" i="188"/>
  <c r="N66" i="184"/>
  <c r="N69" i="188"/>
  <c r="N169" i="184"/>
  <c r="O66" i="184"/>
  <c r="O69" i="188"/>
  <c r="O174" i="188"/>
  <c r="O121" i="188"/>
  <c r="O120" i="195"/>
  <c r="O118" i="184"/>
  <c r="O169" i="184"/>
  <c r="M39" i="195"/>
  <c r="M83" i="195"/>
  <c r="L81" i="184"/>
  <c r="L39" i="195"/>
  <c r="M81" i="184"/>
  <c r="L147" i="188"/>
  <c r="M91" i="184"/>
  <c r="L146" i="195"/>
  <c r="M40" i="188"/>
  <c r="M37" i="184"/>
  <c r="L142" i="184"/>
  <c r="M94" i="188"/>
  <c r="L40" i="188"/>
  <c r="M93" i="195"/>
  <c r="M147" i="188"/>
  <c r="L91" i="184"/>
  <c r="L94" i="188"/>
  <c r="L132" i="184"/>
  <c r="M142" i="184"/>
  <c r="L93" i="195"/>
  <c r="L37" i="184"/>
  <c r="L84" i="188"/>
  <c r="M146" i="195"/>
  <c r="L83" i="195"/>
  <c r="L137" i="188"/>
  <c r="L136" i="195"/>
  <c r="L172" i="188"/>
  <c r="L119" i="188"/>
  <c r="L67" i="188"/>
  <c r="L64" i="184"/>
  <c r="L116" i="184"/>
  <c r="L167" i="184"/>
  <c r="M116" i="184"/>
  <c r="L66" i="195"/>
  <c r="L118" i="195"/>
  <c r="L171" i="195"/>
  <c r="M172" i="188"/>
  <c r="M167" i="184"/>
  <c r="M118" i="195"/>
  <c r="M171" i="195"/>
  <c r="M67" i="188"/>
  <c r="M64" i="184"/>
  <c r="M66" i="195"/>
  <c r="M119" i="188"/>
  <c r="G70" i="284" l="1"/>
  <c r="J323" i="242"/>
  <c r="G72" i="284" s="1"/>
  <c r="J326" i="242"/>
  <c r="I72" i="284" s="1"/>
  <c r="J322" i="242"/>
  <c r="F72" i="284" s="1"/>
  <c r="J325" i="242"/>
  <c r="H72" i="284" s="1"/>
  <c r="J223" i="242"/>
  <c r="G71" i="284" s="1"/>
  <c r="J226" i="242"/>
  <c r="I71" i="284" s="1"/>
  <c r="J222" i="242"/>
  <c r="F71" i="284" s="1"/>
  <c r="J225" i="242"/>
  <c r="H71" i="284" s="1"/>
  <c r="J126" i="242"/>
  <c r="J125" i="242"/>
  <c r="J122" i="242"/>
  <c r="F70" i="284" s="1"/>
  <c r="L173" i="195"/>
  <c r="M173" i="195"/>
  <c r="M68" i="195"/>
  <c r="L68" i="195"/>
  <c r="L92" i="182"/>
  <c r="H28" i="235" s="1"/>
  <c r="M92" i="182"/>
  <c r="H29" i="235" s="1"/>
  <c r="K18" i="2"/>
  <c r="M18" i="2" s="1"/>
  <c r="K19" i="2"/>
  <c r="M19" i="2" s="1"/>
  <c r="L66" i="184"/>
  <c r="L169" i="184"/>
  <c r="M66" i="184"/>
  <c r="L118" i="184"/>
  <c r="L69" i="188"/>
  <c r="M174" i="188"/>
  <c r="L120" i="195"/>
  <c r="M120" i="195"/>
  <c r="M118" i="184"/>
  <c r="M121" i="188"/>
  <c r="L174" i="188"/>
  <c r="M69" i="188"/>
  <c r="L121" i="188"/>
  <c r="M169" i="184"/>
  <c r="G73" i="284" l="1"/>
  <c r="F73" i="284"/>
  <c r="F80" i="284" s="1"/>
  <c r="H70" i="284"/>
  <c r="H73" i="284" s="1"/>
  <c r="H80" i="284" s="1"/>
  <c r="I70" i="284"/>
  <c r="I73" i="284" s="1"/>
  <c r="I80" i="284" s="1"/>
  <c r="N64" i="275"/>
  <c r="J64" i="275"/>
  <c r="N63" i="275"/>
  <c r="J63" i="275"/>
  <c r="N62" i="275"/>
  <c r="J62" i="275"/>
  <c r="H29" i="247"/>
  <c r="H29" i="273"/>
  <c r="H28" i="247"/>
  <c r="H28" i="273"/>
  <c r="H56" i="273"/>
  <c r="H82" i="273"/>
  <c r="H83" i="273"/>
  <c r="H55" i="273"/>
  <c r="H56" i="247"/>
  <c r="H55" i="247"/>
  <c r="H83" i="247"/>
  <c r="H82" i="247"/>
  <c r="H82" i="272"/>
  <c r="H83" i="272"/>
  <c r="H56" i="272"/>
  <c r="H55" i="272"/>
  <c r="H29" i="272"/>
  <c r="H28" i="272"/>
  <c r="G91" i="290" l="1"/>
  <c r="G80" i="284"/>
  <c r="G83" i="284" s="1"/>
  <c r="F91" i="290"/>
  <c r="I3" i="284"/>
  <c r="I83" i="284"/>
  <c r="F3" i="284"/>
  <c r="F83" i="284"/>
  <c r="H3" i="284"/>
  <c r="H83" i="284"/>
  <c r="J65" i="275"/>
  <c r="N65" i="275"/>
  <c r="G98" i="290" l="1"/>
  <c r="G17" i="290" s="1"/>
  <c r="G19" i="290" s="1"/>
  <c r="G15" i="290"/>
  <c r="F98" i="290"/>
  <c r="F17" i="290" s="1"/>
  <c r="F19" i="290" s="1"/>
  <c r="F15" i="290"/>
  <c r="G3" i="284"/>
  <c r="N73" i="275"/>
  <c r="J73" i="275"/>
  <c r="K15" i="2"/>
  <c r="M15" i="2" s="1"/>
  <c r="N75" i="275" l="1"/>
  <c r="D11" i="274" l="1"/>
  <c r="O75" i="275"/>
  <c r="N11" i="275"/>
  <c r="N10" i="275"/>
  <c r="D17" i="274" s="1"/>
  <c r="O63" i="275"/>
  <c r="O51" i="275"/>
  <c r="O62" i="275"/>
  <c r="O52" i="275"/>
  <c r="O58" i="275"/>
  <c r="O57" i="275"/>
  <c r="O68" i="275"/>
  <c r="O56" i="275"/>
  <c r="O69" i="275"/>
  <c r="O55" i="275"/>
  <c r="O70" i="275"/>
  <c r="O54" i="275"/>
  <c r="O71" i="275"/>
  <c r="O73" i="275"/>
  <c r="O64" i="275"/>
  <c r="O65" i="275"/>
  <c r="O50" i="275"/>
  <c r="O53" i="275"/>
  <c r="K21" i="2" l="1"/>
  <c r="M21" i="2" s="1"/>
  <c r="M45" i="2" l="1"/>
  <c r="K16" i="2"/>
  <c r="M16" i="2" s="1"/>
  <c r="H41" i="2" l="1"/>
  <c r="I41" i="2"/>
  <c r="M23" i="2"/>
  <c r="I11" i="2" s="1"/>
  <c r="C18" i="9" s="1"/>
  <c r="B2" i="288" l="1"/>
  <c r="B2" i="290"/>
  <c r="F6" i="274"/>
  <c r="C11" i="287"/>
  <c r="B2" i="284"/>
  <c r="B2" i="282"/>
  <c r="H11" i="2"/>
  <c r="B2" i="280" l="1"/>
  <c r="B2" i="278"/>
  <c r="B2" i="275"/>
  <c r="B2" i="273"/>
  <c r="B2" i="274"/>
  <c r="B2" i="271"/>
  <c r="B2" i="272"/>
  <c r="B2" i="203"/>
  <c r="B2" i="179"/>
  <c r="B2" i="74"/>
  <c r="B2" i="195"/>
  <c r="B2" i="188"/>
  <c r="B2" i="253"/>
  <c r="B2" i="187"/>
  <c r="B2" i="184"/>
  <c r="C11" i="68"/>
  <c r="B2" i="209"/>
  <c r="B2" i="202"/>
  <c r="C11" i="222"/>
  <c r="C11" i="71"/>
  <c r="C11" i="3"/>
  <c r="B2" i="171"/>
  <c r="C11" i="69"/>
  <c r="B2" i="6"/>
  <c r="C11" i="70"/>
  <c r="B2" i="182"/>
  <c r="B2" i="237"/>
  <c r="B2" i="231"/>
  <c r="B2" i="2"/>
  <c r="B2" i="177"/>
  <c r="B2" i="242"/>
  <c r="B2" i="235"/>
  <c r="B2" i="8"/>
  <c r="B2" i="249"/>
  <c r="B2" i="247"/>
  <c r="B2" i="10"/>
  <c r="B2" i="228"/>
  <c r="J58" i="275" l="1"/>
  <c r="H48" i="288" l="1"/>
  <c r="AC48" i="288"/>
  <c r="J75" i="275"/>
  <c r="C121" i="188"/>
  <c r="J11" i="275" l="1"/>
  <c r="D9" i="274"/>
  <c r="J10" i="275"/>
  <c r="K50" i="275"/>
  <c r="K73" i="275"/>
  <c r="K75" i="275"/>
  <c r="K51" i="275"/>
  <c r="K63" i="275"/>
  <c r="K71" i="275"/>
  <c r="K52" i="275"/>
  <c r="K64" i="275"/>
  <c r="K62" i="275"/>
  <c r="K58" i="275"/>
  <c r="K57" i="275"/>
  <c r="K54" i="275"/>
  <c r="K68" i="275"/>
  <c r="K53" i="275"/>
  <c r="K69" i="275"/>
  <c r="K56" i="275"/>
  <c r="K70" i="275"/>
  <c r="K55" i="275"/>
  <c r="K65" i="275"/>
  <c r="D15" i="2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A7" authorId="0" shapeId="0" xr:uid="{00000000-0006-0000-0A00-000001000000}">
      <text>
        <r>
          <rPr>
            <b/>
            <sz val="9"/>
            <color indexed="81"/>
            <rFont val="Tahoma"/>
            <family val="2"/>
          </rPr>
          <t xml:space="preserve">Instructions:
</t>
        </r>
        <r>
          <rPr>
            <sz val="9"/>
            <color indexed="81"/>
            <rFont val="Tahoma"/>
            <family val="2"/>
          </rPr>
          <t xml:space="preserve">Please select the year of the programme that the tool is assessing. Then, please set the first month of the programme year.  Finally, please select the financial budgeting period end month (usually December).
</t>
        </r>
      </text>
    </comment>
    <comment ref="C13" authorId="0" shapeId="0" xr:uid="{00000000-0006-0000-0A00-000002000000}">
      <text>
        <r>
          <rPr>
            <b/>
            <sz val="9"/>
            <color indexed="81"/>
            <rFont val="Tahoma"/>
            <family val="2"/>
          </rPr>
          <t xml:space="preserve">Tip
</t>
        </r>
        <r>
          <rPr>
            <sz val="9"/>
            <color indexed="81"/>
            <rFont val="Tahoma"/>
            <family val="2"/>
          </rPr>
          <t>This is the flu activity year for which you are using the tool.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26" authorId="0" shapeId="0" xr:uid="{00000000-0006-0000-0E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4" authorId="0" shapeId="0" xr:uid="{00000000-0006-0000-0E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2" authorId="0" shapeId="0" xr:uid="{00000000-0006-0000-0E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29" authorId="0" shapeId="0" xr:uid="{00000000-0006-0000-10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9" authorId="0" shapeId="0" xr:uid="{00000000-0006-0000-10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7" authorId="0" shapeId="0" xr:uid="{00000000-0006-0000-10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26" authorId="0" shapeId="0" xr:uid="{00000000-0006-0000-11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3" authorId="0" shapeId="0" xr:uid="{00000000-0006-0000-11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0" authorId="0" shapeId="0" xr:uid="{00000000-0006-0000-11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26" authorId="0" shapeId="0" xr:uid="{00000000-0006-0000-12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3" authorId="0" shapeId="0" xr:uid="{00000000-0006-0000-12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0" authorId="0" shapeId="0" xr:uid="{00000000-0006-0000-12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66" authorId="0" shapeId="0" xr:uid="{00000000-0006-0000-13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135" authorId="0" shapeId="0" xr:uid="{00000000-0006-0000-13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206" authorId="0" shapeId="0" xr:uid="{00000000-0006-0000-13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272" authorId="0" shapeId="0" xr:uid="{00000000-0006-0000-1300-000004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337" authorId="0" shapeId="0" xr:uid="{00000000-0006-0000-1300-000005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404" authorId="0" shapeId="0" xr:uid="{00000000-0006-0000-1300-000006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26" authorId="0" shapeId="0" xr:uid="{00000000-0006-0000-14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3" authorId="0" shapeId="0" xr:uid="{00000000-0006-0000-14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0" authorId="0" shapeId="0" xr:uid="{00000000-0006-0000-14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C32" authorId="0" shapeId="0" xr:uid="{00000000-0006-0000-1500-000001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59" authorId="0" shapeId="0" xr:uid="{00000000-0006-0000-1500-000002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86" authorId="0" shapeId="0" xr:uid="{00000000-0006-0000-1500-000003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113" authorId="0" shapeId="0" xr:uid="{00000000-0006-0000-1500-000004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148" authorId="0" shapeId="0" xr:uid="{00000000-0006-0000-1500-000005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 ref="C185" authorId="0" shapeId="0" xr:uid="{00000000-0006-0000-1500-000006000000}">
      <text>
        <r>
          <rPr>
            <b/>
            <sz val="9"/>
            <color indexed="81"/>
            <rFont val="Tahoma"/>
            <family val="2"/>
          </rPr>
          <t xml:space="preserve">Instructions:
</t>
        </r>
        <r>
          <rPr>
            <sz val="9"/>
            <color indexed="81"/>
            <rFont val="Tahoma"/>
            <family val="2"/>
          </rPr>
          <t>For each activity, please provide an estimated cost per activity. _x000D_
_x000D_
You may use the optional detailed costing worksheet by clicking on the link to it.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Winthrop Morgan, MPH</author>
  </authors>
  <commentList>
    <comment ref="B62" authorId="0" shapeId="0" xr:uid="{00000000-0006-0000-2200-000001000000}">
      <text>
        <r>
          <rPr>
            <b/>
            <sz val="9"/>
            <color indexed="81"/>
            <rFont val="Tahoma"/>
            <family val="2"/>
          </rPr>
          <t xml:space="preserve">Cost Ingredients
</t>
        </r>
        <r>
          <rPr>
            <sz val="9"/>
            <color indexed="81"/>
            <rFont val="Tahoma"/>
            <family val="2"/>
          </rPr>
          <t xml:space="preserve">This is where the price of all recurrent cost items are listed._x000D_
</t>
        </r>
      </text>
    </comment>
    <comment ref="B171" authorId="0" shapeId="0" xr:uid="{00000000-0006-0000-2200-000002000000}">
      <text>
        <r>
          <rPr>
            <b/>
            <sz val="9"/>
            <color indexed="81"/>
            <rFont val="Tahoma"/>
            <family val="2"/>
          </rPr>
          <t xml:space="preserve">Cost Ingredients
</t>
        </r>
        <r>
          <rPr>
            <sz val="9"/>
            <color indexed="81"/>
            <rFont val="Tahoma"/>
            <family val="2"/>
          </rPr>
          <t xml:space="preserve">This is where the price of all recurrent cost items are listed._x000D_
</t>
        </r>
      </text>
    </comment>
  </commentList>
</comments>
</file>

<file path=xl/sharedStrings.xml><?xml version="1.0" encoding="utf-8"?>
<sst xmlns="http://schemas.openxmlformats.org/spreadsheetml/2006/main" count="2835" uniqueCount="898">
  <si>
    <t>Section &amp; Sheet Titles</t>
  </si>
  <si>
    <t>Go to Table of Contents</t>
  </si>
  <si>
    <t>Go to Cover Sheet</t>
  </si>
  <si>
    <t>é</t>
  </si>
  <si>
    <t>ç</t>
  </si>
  <si>
    <t>è</t>
  </si>
  <si>
    <t>Appendices</t>
  </si>
  <si>
    <t>Checks</t>
  </si>
  <si>
    <t>Error Checks</t>
  </si>
  <si>
    <t>Check</t>
  </si>
  <si>
    <t>Include?</t>
  </si>
  <si>
    <t>Flag</t>
  </si>
  <si>
    <t>Total Errors:</t>
  </si>
  <si>
    <t>Total Errors / Message:</t>
  </si>
  <si>
    <t>Sensitivity Checks</t>
  </si>
  <si>
    <t>Total Sensitivities:</t>
  </si>
  <si>
    <t>Total Sensitivities / Message:</t>
  </si>
  <si>
    <t>Alert Checks</t>
  </si>
  <si>
    <t>Total Alerts:</t>
  </si>
  <si>
    <t>Total Alerts / Message:</t>
  </si>
  <si>
    <t>Section 1.</t>
  </si>
  <si>
    <t>a.</t>
  </si>
  <si>
    <t>Section 2.</t>
  </si>
  <si>
    <t>Section 3.</t>
  </si>
  <si>
    <t>-</t>
  </si>
  <si>
    <t>x</t>
  </si>
  <si>
    <t>h</t>
  </si>
  <si>
    <t>O</t>
  </si>
  <si>
    <t>Names</t>
  </si>
  <si>
    <t>Time Series - Assumptions</t>
  </si>
  <si>
    <t>Primary Periodicity</t>
  </si>
  <si>
    <t>Model Start Month</t>
  </si>
  <si>
    <t>Term (Months)</t>
  </si>
  <si>
    <t>Model Start Date</t>
  </si>
  <si>
    <t>Model End Date</t>
  </si>
  <si>
    <t>Quarters In Model</t>
  </si>
  <si>
    <t>Halves In Model</t>
  </si>
  <si>
    <t>Years In Model</t>
  </si>
  <si>
    <t>*</t>
  </si>
  <si>
    <t>Time Series - Lookups</t>
  </si>
  <si>
    <t>Month Days</t>
  </si>
  <si>
    <t>Month Day</t>
  </si>
  <si>
    <t>LU_TS_Mth_Days</t>
  </si>
  <si>
    <t>Month Names</t>
  </si>
  <si>
    <t>Month Name</t>
  </si>
  <si>
    <t>LU_TS_Mth_Names</t>
  </si>
  <si>
    <t>Periods In Periods</t>
  </si>
  <si>
    <t>Periods In Period</t>
  </si>
  <si>
    <t xml:space="preserve"> </t>
  </si>
  <si>
    <t>TS_Secs_In_Min</t>
  </si>
  <si>
    <t>TS_Mins_In_Hr</t>
  </si>
  <si>
    <t>TS_Hrs_In_Day</t>
  </si>
  <si>
    <t>TS_Days_In_Wk</t>
  </si>
  <si>
    <t>TS_Mths_In_Qtr</t>
  </si>
  <si>
    <t>TS_Mths_In_Half</t>
  </si>
  <si>
    <t>TS_Mths_In_Yr</t>
  </si>
  <si>
    <t>TS_Qtrs_In_Half</t>
  </si>
  <si>
    <t>TS_Qtrs_In_Yr</t>
  </si>
  <si>
    <t>TS_Halves_In_Yr</t>
  </si>
  <si>
    <t>Model Start Months</t>
  </si>
  <si>
    <t>LU_TS_Model_Start_Mth</t>
  </si>
  <si>
    <t>Applied Currency</t>
  </si>
  <si>
    <t>Single Unit of Measure</t>
  </si>
  <si>
    <t>Single Unit</t>
  </si>
  <si>
    <t>Notes / Source of Information</t>
  </si>
  <si>
    <t>Currency Codes</t>
  </si>
  <si>
    <t>Currency Code</t>
  </si>
  <si>
    <t># Units</t>
  </si>
  <si>
    <t>Notes and Information Sources</t>
  </si>
  <si>
    <t>Allowances</t>
  </si>
  <si>
    <t>Supplies &amp; Materials</t>
  </si>
  <si>
    <t>b.</t>
  </si>
  <si>
    <t>c.</t>
  </si>
  <si>
    <t>d.</t>
  </si>
  <si>
    <t>e.</t>
  </si>
  <si>
    <t>Period Start Date</t>
  </si>
  <si>
    <t>Period End Date</t>
  </si>
  <si>
    <t>Counter</t>
  </si>
  <si>
    <t>Financial Year</t>
  </si>
  <si>
    <t>Currency Name</t>
  </si>
  <si>
    <t>USD</t>
  </si>
  <si>
    <t>litre</t>
  </si>
  <si>
    <t>Vehicles</t>
  </si>
  <si>
    <t>TOTAL</t>
  </si>
  <si>
    <t>Abbreviation</t>
  </si>
  <si>
    <t>US Dollars</t>
  </si>
  <si>
    <t>Insurance</t>
  </si>
  <si>
    <t>Customs Clearance</t>
  </si>
  <si>
    <t>Pre-Clearance Processing</t>
  </si>
  <si>
    <t>Port Storage</t>
  </si>
  <si>
    <t>Target Populations</t>
  </si>
  <si>
    <t>Noun</t>
  </si>
  <si>
    <t>Adjective</t>
  </si>
  <si>
    <t>1 sheet</t>
  </si>
  <si>
    <t>Instructions:</t>
  </si>
  <si>
    <t>Please input your preferred labels for each of the items in the input cells below.</t>
  </si>
  <si>
    <t>The labels you input here will be automatically copied to all parts of the tool.</t>
  </si>
  <si>
    <t xml:space="preserve">You may change a label here at any time, and the change will automatically be made throughout the tool. </t>
  </si>
  <si>
    <t>Model Documentation</t>
  </si>
  <si>
    <t>Lookup Tables</t>
  </si>
  <si>
    <t>Name</t>
  </si>
  <si>
    <t>Description of Task</t>
  </si>
  <si>
    <t>Task that ODC item is supporting</t>
  </si>
  <si>
    <t xml:space="preserve">Task(s) this Allowance Supports </t>
  </si>
  <si>
    <t>Task that Supply/Material is Used For.</t>
  </si>
  <si>
    <t>Useful Life Years per Unit</t>
  </si>
  <si>
    <t>Input capital cost items, currency applied, gross amount, costs per gross, unit types,  units per gross, and useful life years per unit.</t>
  </si>
  <si>
    <t>Capacity (cm3)</t>
  </si>
  <si>
    <t>Laptop Computer</t>
  </si>
  <si>
    <t>Solar battery refrigerator</t>
  </si>
  <si>
    <t>Target Population</t>
  </si>
  <si>
    <t>The values you input here will be automatically copied to all parts of the tool.</t>
  </si>
  <si>
    <t xml:space="preserve">You may change a value here at any time, and the change will automatically be made throughout the tool. </t>
  </si>
  <si>
    <t>Currencies</t>
  </si>
  <si>
    <t>Plural</t>
  </si>
  <si>
    <t>[Not Applicable]</t>
  </si>
  <si>
    <t>1 package</t>
  </si>
  <si>
    <t>Currency</t>
  </si>
  <si>
    <t>Administrative Division</t>
  </si>
  <si>
    <t>LU_FLU_Admin_Divisions</t>
  </si>
  <si>
    <t>LU_FLU_Target_Populations</t>
  </si>
  <si>
    <t>LU_FLU_Currencies</t>
  </si>
  <si>
    <t>Vaccines</t>
  </si>
  <si>
    <t>Vaccine</t>
  </si>
  <si>
    <t>LU_FLU_Vaccine</t>
  </si>
  <si>
    <t>LU_FLU_Curr_Code</t>
  </si>
  <si>
    <t>Recurrent Price Items Group A</t>
  </si>
  <si>
    <t>LU_FLU_RECC_PRICES_GROUP_A</t>
  </si>
  <si>
    <t>Recurrent Price Items Group C</t>
  </si>
  <si>
    <t>LU_FLU_RECC_PRICES_GROUP_C</t>
  </si>
  <si>
    <t>Recurrent Price Items Group D</t>
  </si>
  <si>
    <t>LU_FLU_RECC_PRICES_GROUP_D</t>
  </si>
  <si>
    <t>Recurrent Price Items Group E</t>
  </si>
  <si>
    <t>LU_FLU_RECC_PRICES_GROUP_E</t>
  </si>
  <si>
    <t>Capital_Cost_Item_GroupA Category 4</t>
  </si>
  <si>
    <t>Capital_Cost_Item_GroupA Category 5</t>
  </si>
  <si>
    <t>Input capital cost items, currency applied, gross units, single unit of measure, # single units per gross, costs per gross, and useful life years per unit.</t>
  </si>
  <si>
    <t>Input recurrent cost items, currency applied, gross units, single unit of measure, # single units per gross, and costs per gross.</t>
  </si>
  <si>
    <t>Capital_Cost_Item_GroupB Category 3</t>
  </si>
  <si>
    <t>Capital_Cost_Item_GroupB Category 4</t>
  </si>
  <si>
    <t>Capital_Cost_Item_GroupB Category 5</t>
  </si>
  <si>
    <t>Capital_Cost_Item_GroupB Category 6</t>
  </si>
  <si>
    <t>Capital_Cost_Item_GroupD Category 3</t>
  </si>
  <si>
    <t>Capital_Cost_Item_GroupD Category 4</t>
  </si>
  <si>
    <t>Capital_Cost_Item_GroupD Category 5</t>
  </si>
  <si>
    <t>Capital Cost Items Group A</t>
  </si>
  <si>
    <t>LU_FLU_CAP_PRICES_GROUP_A</t>
  </si>
  <si>
    <t>Capital Cost Items Group B</t>
  </si>
  <si>
    <t>LU_FLU_CAP_PRICES_GROUP_B</t>
  </si>
  <si>
    <t>Capital Cost Items Group C</t>
  </si>
  <si>
    <t>LU_FLU_CAP_PRICES_GROUP_C</t>
  </si>
  <si>
    <t>Capital Cost Items Group D</t>
  </si>
  <si>
    <t>LU_FLU_CAP_PRICES_GROUP_D</t>
  </si>
  <si>
    <t>Task Description Here</t>
  </si>
  <si>
    <t>Other Direct Costs (Capital)</t>
  </si>
  <si>
    <t>Recurrent Cost Categories</t>
  </si>
  <si>
    <t>Recurrent Cost Categorie</t>
  </si>
  <si>
    <t>LU_FLU_RECC_COST_CATEGORIES</t>
  </si>
  <si>
    <t>Capital Cost Categories</t>
  </si>
  <si>
    <t>Capital Cost Categorie</t>
  </si>
  <si>
    <t>LU_FLU_CAP_COST_CATEGORIES</t>
  </si>
  <si>
    <t>Subtotal</t>
  </si>
  <si>
    <t>Capital_Cost_Item_GroupA Category 6</t>
  </si>
  <si>
    <t>Costing Types</t>
  </si>
  <si>
    <t>Costing Type</t>
  </si>
  <si>
    <t>LU_FLU_FIN_ECON</t>
  </si>
  <si>
    <t>Financial</t>
  </si>
  <si>
    <t>Economic</t>
  </si>
  <si>
    <t>1 entry</t>
  </si>
  <si>
    <t>Notes / Sources of Information</t>
  </si>
  <si>
    <t>Country</t>
  </si>
  <si>
    <t>LU_FLU_country</t>
  </si>
  <si>
    <t>Prepared Years</t>
  </si>
  <si>
    <t>Prepared Year</t>
  </si>
  <si>
    <t>LU_FLU_Prepared_Yrs</t>
  </si>
  <si>
    <t>For the economic rates below:</t>
  </si>
  <si>
    <t>2. Please input the assumed annual discount rate (ADR) to be used for annualized costs. (The standard rate is 3%).</t>
  </si>
  <si>
    <t>For the price list below:</t>
  </si>
  <si>
    <t>1.Please give a unique name  to each cost item. This name will appear in selection lists throughout the tool.</t>
  </si>
  <si>
    <t>2. Please select the currency you are using when inputting the price of that item.</t>
  </si>
  <si>
    <t>3. Please input the GROSS unit of measure. This is the amount in which the item is priced  For example, personnel may be priced by month or day.</t>
  </si>
  <si>
    <t>4. Please input the SINGLE unit of measure.  This is the amount in which the item is typically spent or used.  For example, a nurse giving a vaccination may only work in minutes. A nurse attending a training may work in days.</t>
  </si>
  <si>
    <t>Note: You may repeat the same personnel under the personnel by minute category and the personnel by day category.</t>
  </si>
  <si>
    <t>5. Input the number of SINGLE units in a GROSS unit. For example, there are 9,600 working minutes in a month or 20 working days in a month.</t>
  </si>
  <si>
    <t>6. Please input the FINANCIAL price per GROSS unit, and the ECONOMIC price per GROSS unit, in the currency you selected in #2 above.</t>
  </si>
  <si>
    <t>Note: The FINANCIAL price is the amount of money which the program pays for the item.  If the item is AVAILABLE WITHOUT EXTRA COST (for example, if it is a salaried employee or a donated item), the finacial cost is zero.</t>
  </si>
  <si>
    <t>Note: The ECONOMIC price is the VALUE of the item, regardless of whether the programme needs to spend money to get it.</t>
  </si>
  <si>
    <t>7. The price per single unit will be automatically calculated for you.</t>
  </si>
  <si>
    <t>8. Please write any explanations and note the source of your prices in the "Notes/Source of Information" column.</t>
  </si>
  <si>
    <t>Unit Cost (Financial):</t>
  </si>
  <si>
    <t>Unit Cost (Economic):</t>
  </si>
  <si>
    <t>f.</t>
  </si>
  <si>
    <t>Partial Financial Year Identifier</t>
  </si>
  <si>
    <t>Setup</t>
  </si>
  <si>
    <t>?</t>
  </si>
  <si>
    <t>g.</t>
  </si>
  <si>
    <t>Yes</t>
  </si>
  <si>
    <t>h.</t>
  </si>
  <si>
    <t>i.</t>
  </si>
  <si>
    <t>Prequalified Seasonal Influenza Vaccines</t>
  </si>
  <si>
    <t>Commercial Name</t>
  </si>
  <si>
    <t xml:space="preserve">Purpose of Activity: </t>
  </si>
  <si>
    <t>OUTPUTS</t>
  </si>
  <si>
    <t>Hemispheres</t>
  </si>
  <si>
    <t>Hemisphere</t>
  </si>
  <si>
    <t>LU_FLU_hemisphere</t>
  </si>
  <si>
    <t>Northern</t>
  </si>
  <si>
    <t>Southern</t>
  </si>
  <si>
    <t>(source: https://extranet.who.int/gavi/PQ_Web/)</t>
  </si>
  <si>
    <t>Cold Chain Vol (cm3)</t>
  </si>
  <si>
    <t>Prequalified Vaccines</t>
  </si>
  <si>
    <t>Prequalified Vaccine</t>
  </si>
  <si>
    <t>LU_FLU_VACC_PREQUAL</t>
  </si>
  <si>
    <t>cm3</t>
  </si>
  <si>
    <t>Icelined refrigerator (200k)</t>
  </si>
  <si>
    <t>Icelined refrigerator (99k)</t>
  </si>
  <si>
    <t>Icelined refrigerator (63k)</t>
  </si>
  <si>
    <t>Icelined refrigerator (45k)</t>
  </si>
  <si>
    <t>Capital_Cost_Item_GroupB Category 7</t>
  </si>
  <si>
    <t>&lt;select from this drop-down list&gt;</t>
  </si>
  <si>
    <t>Capital_Cost_Item_GroupC Category 9</t>
  </si>
  <si>
    <t>Capital_Cost_Item_GroupC Category 10</t>
  </si>
  <si>
    <t>Capital_Cost_Item_GroupC Category 11</t>
  </si>
  <si>
    <t>Haier HTC-60 Solar Direct Drive</t>
  </si>
  <si>
    <t>Reference Data</t>
  </si>
  <si>
    <t>Vaccine Packed Volume per Dose</t>
  </si>
  <si>
    <t>Yes/No</t>
  </si>
  <si>
    <t>LU_FLU_Yes_No</t>
  </si>
  <si>
    <t>&lt;Select&gt;</t>
  </si>
  <si>
    <t>No</t>
  </si>
  <si>
    <t>Model Version:</t>
  </si>
  <si>
    <t>Edition:</t>
  </si>
  <si>
    <t>File Location:</t>
  </si>
  <si>
    <t>This Model Version Last Updated:</t>
  </si>
  <si>
    <t>This File Last Opened:</t>
  </si>
  <si>
    <t>(mm/dd/yyyy)</t>
  </si>
  <si>
    <t>(mm/dd/yy)</t>
  </si>
  <si>
    <t>Name:</t>
  </si>
  <si>
    <t>Title:</t>
  </si>
  <si>
    <t>Email:</t>
  </si>
  <si>
    <t>Telephone 1:</t>
  </si>
  <si>
    <t>WORLD HEALTH ORGANIZATION</t>
  </si>
  <si>
    <t>Developers:</t>
  </si>
  <si>
    <t>COVER NOTES:</t>
  </si>
  <si>
    <t>1. Select Start Year for Programme</t>
  </si>
  <si>
    <t>3. Select Annual Budget Ending Month</t>
  </si>
  <si>
    <t>2. Select Start Month for Programme</t>
  </si>
  <si>
    <t>Quick Summary</t>
  </si>
  <si>
    <t>Annual</t>
  </si>
  <si>
    <t>Cost Types</t>
  </si>
  <si>
    <t>Cost Type</t>
  </si>
  <si>
    <t>FIN</t>
  </si>
  <si>
    <t>ECON</t>
  </si>
  <si>
    <t>LU_FLU_Cost_Type_Fin_Econ</t>
  </si>
  <si>
    <t>Cost Type Abbreviations</t>
  </si>
  <si>
    <t>Cost Type Abbreviation</t>
  </si>
  <si>
    <t>LU_FLU_Cost_Type_Fin_Econ_Abbr</t>
  </si>
  <si>
    <t>Detailed Microplanning Costings Worksheet</t>
  </si>
  <si>
    <t>Administrative Divisions Plural</t>
  </si>
  <si>
    <t>LU_FLU_Admin_Div_Plural</t>
  </si>
  <si>
    <t>Detailed Routine Vaccination Add-on Cost Assumptions - Worksheet</t>
  </si>
  <si>
    <t>Administrative Divisions Adjective</t>
  </si>
  <si>
    <t>LU_FLU_Admin_Div_Adj</t>
  </si>
  <si>
    <t>Recurrent Costs</t>
  </si>
  <si>
    <t>Custom Labels in this Tool</t>
  </si>
  <si>
    <t>Cold Chain Equipment</t>
  </si>
  <si>
    <t>Equipment (not Cold Chain)</t>
  </si>
  <si>
    <t>Other Direct Costs (Recurrent)</t>
  </si>
  <si>
    <t>Seasonal Influenza Vaccine - Lookups</t>
  </si>
  <si>
    <t>About Seasonal Influenza</t>
  </si>
  <si>
    <t>Department of Immunization, Vaccines and Biologicals (IVB)</t>
  </si>
  <si>
    <t>Detailed Microplanning Cost Estimate Worksheet</t>
  </si>
  <si>
    <t>Expanded Target Population Edition</t>
  </si>
  <si>
    <t>COST</t>
  </si>
  <si>
    <t>Purpose</t>
  </si>
  <si>
    <t>Single Unit Measure</t>
  </si>
  <si>
    <t>Leading Microplanning</t>
  </si>
  <si>
    <t>Cost Ingredients</t>
  </si>
  <si>
    <t>Number</t>
  </si>
  <si>
    <t>Administered</t>
  </si>
  <si>
    <t>Development of Operational Plan for Seasonal Influenza Preparation, Administration, and Management</t>
  </si>
  <si>
    <t>WHO CHOICE EURO C: http://www.who.int/choice/costs/prog_costs/en/index9.html</t>
  </si>
  <si>
    <t>Partnership for Influenza Vaccine Introduction</t>
  </si>
  <si>
    <t>Dummy data pending input from Albania.</t>
  </si>
  <si>
    <t>Training Activities</t>
  </si>
  <si>
    <t>Location Labels</t>
  </si>
  <si>
    <t>Cost Ingredients List</t>
  </si>
  <si>
    <t>Recurrent Cost Items</t>
  </si>
  <si>
    <t>Capital Cost Items</t>
  </si>
  <si>
    <t>About this Tool</t>
  </si>
  <si>
    <t>Labels and Names</t>
  </si>
  <si>
    <t>Start Date</t>
  </si>
  <si>
    <t>Counts</t>
  </si>
  <si>
    <t>Rates and Cost Ingredients</t>
  </si>
  <si>
    <t>●What is the population of the area?</t>
  </si>
  <si>
    <t>●How big is the area (km2)</t>
  </si>
  <si>
    <t>●How far is the area from the central city?</t>
  </si>
  <si>
    <t>●How may of each type of health service facility are currently functioning?</t>
  </si>
  <si>
    <t>●How many of each type of cold storage facility are there?</t>
  </si>
  <si>
    <t>●How many of each target population group are there?</t>
  </si>
  <si>
    <t>●How many of each type of health personnel designated as a vaccination provider are there?</t>
  </si>
  <si>
    <t>●In what year and month will the programme start, for the purpose of this analysis?</t>
  </si>
  <si>
    <t>●It does not provide an estimation of the funding gap or financial sustainability analysis of this introduction.</t>
  </si>
  <si>
    <t>●It does not provide a cost-effectiveness  analysis to determine the relative worth or value of the new vaccine;</t>
  </si>
  <si>
    <t>●What exchange rate between currencies should be used at the baseline?</t>
  </si>
  <si>
    <t>●What discount rateis typically used for depreciating capital cost items?</t>
  </si>
  <si>
    <t>●What are the unit costs of vaccines and injectible supplies?  What subsidies are being donated to offset the costs?</t>
  </si>
  <si>
    <t>●Which personnel will be assigned to implement activities and tasks, and what is their cost per month to the government?</t>
  </si>
  <si>
    <t xml:space="preserve">●What allowances need to be provided in order to alllow personnel to carry out their assigned tasks, and what are their unit costs? </t>
  </si>
  <si>
    <t>●What supplies and materials are required to carry out the activities associated with the vaccination programme, and what are their unit costs?</t>
  </si>
  <si>
    <t>●What other direct cost items are typically expended for this vaccine programme, and what are their unit costs?</t>
  </si>
  <si>
    <t>●What are the coverage rate goals?</t>
  </si>
  <si>
    <t>●By target population group?</t>
  </si>
  <si>
    <t>●By geographical sub area?</t>
  </si>
  <si>
    <t>●What types of add-on costs are associated with procuring the vaccine and supplies, and what proportion of the base cost do they add on to the cost?</t>
  </si>
  <si>
    <t>●What subsidies are provided by donors?</t>
  </si>
  <si>
    <t>What is the purpose of this tool?</t>
  </si>
  <si>
    <t>Who can use this tool?</t>
  </si>
  <si>
    <t>●Immunization progamme managers</t>
  </si>
  <si>
    <t>●Immunization advisors at the national, regional, and global levels</t>
  </si>
  <si>
    <t>●Partners and donors that support immunization activities in countries</t>
  </si>
  <si>
    <t>When do you need this tool?</t>
  </si>
  <si>
    <t>●To assist with planning the introduction in ways that the immunization programme and overall health system can afford.</t>
  </si>
  <si>
    <t>How can you use this tool?</t>
  </si>
  <si>
    <t>●When deciding if and when introducing the seasonal influenza vaccine into an immunization programme is affordable and feasible</t>
  </si>
  <si>
    <t>●To assist countries with making informed decisions about adding the seasonal influenza vaccine to the national immunization programme by considering its cost</t>
  </si>
  <si>
    <t>impact to the immunization programme and the overall health system.</t>
  </si>
  <si>
    <t xml:space="preserve">●As a financial tool to plan, implement, and monitor the cost of seasonal influenza vaccine introduction </t>
  </si>
  <si>
    <t>●As an advocacy tool to demonstrate due diligence in fiscal impact analysis</t>
  </si>
  <si>
    <t>What does the tool do (and not do)?</t>
  </si>
  <si>
    <t>●The tool provides an estimate and analysis of the cost of introducing the seasonal influenza vaccine into an immunization programme.</t>
  </si>
  <si>
    <t>What questions must the user be able to answer to complete the tool?</t>
  </si>
  <si>
    <t>Coverage Goals</t>
  </si>
  <si>
    <t>Strategy</t>
  </si>
  <si>
    <t>●How many subareas of the country will need to be costed individually?</t>
  </si>
  <si>
    <t>●For each subarea of the country which will be costed individually:</t>
  </si>
  <si>
    <t>●Will the vaccine be introduced in phases or simultaneously throughout the programme?</t>
  </si>
  <si>
    <t>●Who will be eligible for vaccination?</t>
  </si>
  <si>
    <t>●When will the vaccine be offered?</t>
  </si>
  <si>
    <t>●Where will the vaccine be offered?</t>
  </si>
  <si>
    <t>●Will the vaccine be offered at a routine part of immunization services?</t>
  </si>
  <si>
    <t>● Will supplemental immunization activities (i.e.campaigns) be needed?</t>
  </si>
  <si>
    <t>Notes and Sources of Information</t>
  </si>
  <si>
    <t>Packed Volume per Dose (cm3)</t>
  </si>
  <si>
    <t>Follow up and report</t>
  </si>
  <si>
    <t>Other Activities</t>
  </si>
  <si>
    <t>Time Period - Assumptions</t>
  </si>
  <si>
    <t>Registered Nurse (Tertiary)</t>
  </si>
  <si>
    <t>Registered Nurse (Primary)</t>
  </si>
  <si>
    <t>Nurse</t>
  </si>
  <si>
    <t>Specialist in NIP program</t>
  </si>
  <si>
    <t>Supportive Supervision Visit From National to  PHD (district)</t>
  </si>
  <si>
    <t xml:space="preserve">Supportive Supervision Visit From   PHD (district) to facility </t>
  </si>
  <si>
    <t>Microplanning</t>
  </si>
  <si>
    <t xml:space="preserve">VKM for travelling cost </t>
  </si>
  <si>
    <t>Syrynges</t>
  </si>
  <si>
    <t>Lefleats</t>
  </si>
  <si>
    <t>Posters</t>
  </si>
  <si>
    <t>UNICEF Donatore posters</t>
  </si>
  <si>
    <t>UNICEF Donatore leaflets</t>
  </si>
  <si>
    <t>Gloves</t>
  </si>
  <si>
    <t>Refusal form photocopy</t>
  </si>
  <si>
    <t>Stationary package</t>
  </si>
  <si>
    <t>Photocopy information package</t>
  </si>
  <si>
    <t>1pz</t>
  </si>
  <si>
    <t>pz</t>
  </si>
  <si>
    <t>Fuel</t>
  </si>
  <si>
    <t>Register 25 lines per page</t>
  </si>
  <si>
    <t>Vaccination card</t>
  </si>
  <si>
    <t>Health Workers</t>
  </si>
  <si>
    <t>Pregnant Women</t>
  </si>
  <si>
    <t>Children 6 months to 5 years old</t>
  </si>
  <si>
    <t>Adults with Chronic Health Risk</t>
  </si>
  <si>
    <t>Total Target_Populations</t>
  </si>
  <si>
    <t>PIVI</t>
  </si>
  <si>
    <t>Commercial</t>
  </si>
  <si>
    <t>Ministry of Health Medical Stores</t>
  </si>
  <si>
    <t>MoH</t>
  </si>
  <si>
    <t>Total Nmbr. Vaccines Administered to Target Populations (Estimated)</t>
  </si>
  <si>
    <t>Single Vaccine Dose in Prefilled Auto-Destruct Syringe</t>
  </si>
  <si>
    <t>Administered (#)</t>
  </si>
  <si>
    <t>Reserve/ Buffer Stock (%)</t>
  </si>
  <si>
    <t>Source 1</t>
  </si>
  <si>
    <t>Source 2</t>
  </si>
  <si>
    <t>Source 3</t>
  </si>
  <si>
    <t>Local Commercial Pharmaceutical Distributor</t>
  </si>
  <si>
    <t>Vaccine and Injection Supplies</t>
  </si>
  <si>
    <t>Vaccine and Injection Supplie</t>
  </si>
  <si>
    <t>LU_FLU_Vacc_Inj_Supplies</t>
  </si>
  <si>
    <t>Single Vaccine Dose in Vial</t>
  </si>
  <si>
    <t>Auto Destruct Injection Syringe</t>
  </si>
  <si>
    <t>Unit Cost - Economic (Cost + Procurement Add-ons)</t>
  </si>
  <si>
    <t>Less Subsidy (value of subsidy or donation)</t>
  </si>
  <si>
    <t>Add-on Charges (calculated automatically from below)</t>
  </si>
  <si>
    <t xml:space="preserve">Unit Cost - Financial </t>
  </si>
  <si>
    <t>Unit Cost - Fair Market Value (FMV)</t>
  </si>
  <si>
    <t>Add-on Charges (per Unit)</t>
  </si>
  <si>
    <t>Handling</t>
  </si>
  <si>
    <t>Parking</t>
  </si>
  <si>
    <t>Total Add-on Charges</t>
  </si>
  <si>
    <t>Add-on Charge</t>
  </si>
  <si>
    <t>Number Procured, by Source</t>
  </si>
  <si>
    <t>Wastage (%)</t>
  </si>
  <si>
    <t>Total Number Procured</t>
  </si>
  <si>
    <t>Safety Box (100 capacity) to hold administered syringes</t>
  </si>
  <si>
    <t>j.</t>
  </si>
  <si>
    <t>k.</t>
  </si>
  <si>
    <t>l.</t>
  </si>
  <si>
    <t>m.</t>
  </si>
  <si>
    <t>Procurement Estimates</t>
  </si>
  <si>
    <t>Injection Supplies</t>
  </si>
  <si>
    <t>Used (#)</t>
  </si>
  <si>
    <t>Inj Supply 1</t>
  </si>
  <si>
    <t>Inj Supply 2</t>
  </si>
  <si>
    <t>Vaccine Type 1</t>
  </si>
  <si>
    <t>Vaccine Type 2</t>
  </si>
  <si>
    <t>Replaced (#)</t>
  </si>
  <si>
    <t>Stockpiled (#)</t>
  </si>
  <si>
    <t>To Procure (#)</t>
  </si>
  <si>
    <t>Cold Chain Volume Estimates</t>
  </si>
  <si>
    <t>Packed Volume per Unit</t>
  </si>
  <si>
    <t>Maximum Proportion of Required Units to be Stored at any Given Time</t>
  </si>
  <si>
    <t>Cotton</t>
  </si>
  <si>
    <t>Defined groups targeted for vaccination</t>
  </si>
  <si>
    <t>Target Populations and Coverage Estimates</t>
  </si>
  <si>
    <t>Estimated Coverage by Target Population Group</t>
  </si>
  <si>
    <t>Input - Target Population Estimates</t>
  </si>
  <si>
    <t>Input - Coverage Estimates</t>
  </si>
  <si>
    <t>Input - Vaccine and Injection Supply Procurement Sources</t>
  </si>
  <si>
    <t>Baseline Price Year</t>
  </si>
  <si>
    <t>Foreign Currency</t>
  </si>
  <si>
    <t>Local Currency</t>
  </si>
  <si>
    <t>Input - Annual Discount Rate (constant)</t>
  </si>
  <si>
    <t>Input - Cost Types</t>
  </si>
  <si>
    <t>Definition</t>
  </si>
  <si>
    <t>Price List</t>
  </si>
  <si>
    <t>Currency  Names and Baseline Exchange Rate</t>
  </si>
  <si>
    <t>Annual Discount Rate (ADR)</t>
  </si>
  <si>
    <t>Total Vaccines Cold Storage Required (cm3)</t>
  </si>
  <si>
    <t>SINGLE ACTIVITY COST:</t>
  </si>
  <si>
    <t>SINGLE ACTIVITY COST ESTIMATE:</t>
  </si>
  <si>
    <t>Financial - Assumptions</t>
  </si>
  <si>
    <t>Input - Currencies and Exchange Rates</t>
  </si>
  <si>
    <t>Microplanning Estimates</t>
  </si>
  <si>
    <t>Activity Type Name</t>
  </si>
  <si>
    <t>A.</t>
  </si>
  <si>
    <t>Capital Costs</t>
  </si>
  <si>
    <t xml:space="preserve">Personnel </t>
  </si>
  <si>
    <t>Personnel  Gross Time Categories</t>
  </si>
  <si>
    <t>Personnel Gross Time Category</t>
  </si>
  <si>
    <t>LU_FLU_Time_Categories</t>
  </si>
  <si>
    <t>Year</t>
  </si>
  <si>
    <t>Month</t>
  </si>
  <si>
    <t>Personnel Unit Cost Categories</t>
  </si>
  <si>
    <t>Personnel Unit Cost Category</t>
  </si>
  <si>
    <t>LU_FLU_Personnel_Unit_Cost_Categories</t>
  </si>
  <si>
    <t>Day</t>
  </si>
  <si>
    <t>Hour</t>
  </si>
  <si>
    <t>Minute</t>
  </si>
  <si>
    <t xml:space="preserve"> (FROM FINANCIAL_TA)</t>
  </si>
  <si>
    <t>Cost Category Groups</t>
  </si>
  <si>
    <t>Description/ Notes</t>
  </si>
  <si>
    <t>Number of this Activity to be Done</t>
  </si>
  <si>
    <t>Epidemiologist</t>
  </si>
  <si>
    <t>Allowance Price 4</t>
  </si>
  <si>
    <t>Allowance Price 3</t>
  </si>
  <si>
    <t>Allowance Price 5</t>
  </si>
  <si>
    <t>Allowance Price 6</t>
  </si>
  <si>
    <t>Allowance Price 7</t>
  </si>
  <si>
    <t>Allowance Price 8</t>
  </si>
  <si>
    <t>Allowance Price 9</t>
  </si>
  <si>
    <t>Allowance Price 10</t>
  </si>
  <si>
    <t>Description</t>
  </si>
  <si>
    <t>Random ODC Capital</t>
  </si>
  <si>
    <t>Time Unit Measure</t>
  </si>
  <si>
    <t># Units in Months (Calculated)</t>
  </si>
  <si>
    <t>Estimate from Detailed Costing Worksheet (if completed)</t>
  </si>
  <si>
    <t>Final Estimate (used for calculating total cost.)*</t>
  </si>
  <si>
    <t>* Final estimate may be different from detailed costing worksheet.</t>
  </si>
  <si>
    <t>Explanation, if final estimate is different from detaild costing worksheet estimate.</t>
  </si>
  <si>
    <t>Explanation, if final estimate is different from detailed costing worksheet estimate.</t>
  </si>
  <si>
    <t>Go to Detailed Costing Health Facility Level Microplanning</t>
  </si>
  <si>
    <t>List up to 3 Types of Microplanning Activities</t>
  </si>
  <si>
    <t>B.</t>
  </si>
  <si>
    <t>A. Review this Report (from Target_Pops &amp; Coverage): Number of Persons to be Administered a Vaccination</t>
  </si>
  <si>
    <t>List up to 2 Types of the Influenza Vaccine and Two Types of Injection Supplies</t>
  </si>
  <si>
    <t>Estimate the number of each Type of Vaccine and Each Type of Injection Supply Needed</t>
  </si>
  <si>
    <t>C.</t>
  </si>
  <si>
    <t>D.</t>
  </si>
  <si>
    <t>Estimate Wastage that will Occur and Require Replacement Supplies</t>
  </si>
  <si>
    <t>Estimate Reserve / Buffer Stock Required (if any)</t>
  </si>
  <si>
    <t>Output - Total Vaccines and Injection Supplies to be Procured</t>
  </si>
  <si>
    <t>List up to 3 Sources of the Influenza Vaccine and Injection Supplies</t>
  </si>
  <si>
    <t>Administer Injection</t>
  </si>
  <si>
    <t>Complete Record of Injectino</t>
  </si>
  <si>
    <t>? Is this cost for 1 page or 1 entry?</t>
  </si>
  <si>
    <t>Estimated  Cost of a Single Instance of This Service Delivery Activity</t>
  </si>
  <si>
    <t>INPUTS</t>
  </si>
  <si>
    <t>Number of this Activity Required to Achieve Coverage</t>
  </si>
  <si>
    <t>Cost of Activities Required to Achieve Coverage</t>
  </si>
  <si>
    <t>Detailed Service Delivery - Special Immunization Activities</t>
  </si>
  <si>
    <t>Training</t>
  </si>
  <si>
    <t>List up to 3 Different Types of Training Activities</t>
  </si>
  <si>
    <t>Public Health Directorate Training</t>
  </si>
  <si>
    <t>Training Activity</t>
  </si>
  <si>
    <t>LU_FLU_Training</t>
  </si>
  <si>
    <t>Supervision, Monitoring and Evaluation - Estimates</t>
  </si>
  <si>
    <t>List up to 3 Different Types of Supervision Activities</t>
  </si>
  <si>
    <t>Supervision Category 3</t>
  </si>
  <si>
    <t>Supervision Activities</t>
  </si>
  <si>
    <t>Supervision Activity</t>
  </si>
  <si>
    <t>LU_FLU_Supervision_Activities</t>
  </si>
  <si>
    <t>Other Activities - Estimates</t>
  </si>
  <si>
    <t>Other Activity</t>
  </si>
  <si>
    <t>LU_FLU_Other_Activities</t>
  </si>
  <si>
    <t># Vaccinations per Activity</t>
  </si>
  <si>
    <t>Total Target_Populations Vaccinated</t>
  </si>
  <si>
    <t>Social Mobilisation / IEC</t>
  </si>
  <si>
    <t>Social Mobilisation / IEC - Estimates</t>
  </si>
  <si>
    <t>List up to 3 Different Types of Social Mobilization/ Communication Activities</t>
  </si>
  <si>
    <t>Detailed Social Mobilization and Communication Costs - Assumptions</t>
  </si>
  <si>
    <t>Social Mobilisation and Communication Activities</t>
  </si>
  <si>
    <t>Social Mobilisation and Communication Activity</t>
  </si>
  <si>
    <t>LU_FLU_SOC_MOB_AND_COMM</t>
  </si>
  <si>
    <t>Home</t>
  </si>
  <si>
    <t>Eligible</t>
  </si>
  <si>
    <t>Coverage (%)</t>
  </si>
  <si>
    <t>Procurement</t>
  </si>
  <si>
    <t>[Purpose Description Here]</t>
  </si>
  <si>
    <t>Detailed Preparatory Training Cost Estimate Worksheet</t>
  </si>
  <si>
    <t>Detailed Social Mobilization  and Communication Cost Estimate Worksheet</t>
  </si>
  <si>
    <t>Detailed Supervision Cost Estimate Worksheet</t>
  </si>
  <si>
    <t>Detailed Routine Vaccination Add-on Cost Estimate Worksheet</t>
  </si>
  <si>
    <t>Detailed Special Immunization Activities Cost Estimate Worksheet</t>
  </si>
  <si>
    <t>Detailed Other Activities Cost Estimate Worksheet</t>
  </si>
  <si>
    <t>Dose per Vial</t>
  </si>
  <si>
    <t>AGRIFLU</t>
  </si>
  <si>
    <t>Fluvirin</t>
  </si>
  <si>
    <t>Fluzone</t>
  </si>
  <si>
    <t>GC FLU inj</t>
  </si>
  <si>
    <t>GC FLU Multi inj.</t>
  </si>
  <si>
    <t>Influenza Vaccine (Split virion, inactivated)</t>
  </si>
  <si>
    <t>Nasovac-S Influenza Vaccine, Live, Attenuated (Human)</t>
  </si>
  <si>
    <t>Vaxigrip</t>
  </si>
  <si>
    <t>Fluzone Quadrivalent</t>
  </si>
  <si>
    <t>GCFLU Quadrivalent inj.</t>
  </si>
  <si>
    <t>GCFLU Quadrivalent Multi inj.</t>
  </si>
  <si>
    <t>last checked May 2017</t>
  </si>
  <si>
    <t>FluLaval</t>
  </si>
  <si>
    <t>Shortfall of cold storage space before expansion</t>
  </si>
  <si>
    <t>Cold storage space available for Seasonal Influenza Vaccines before expansion (cm3)</t>
  </si>
  <si>
    <t>Number of Units</t>
  </si>
  <si>
    <t>Name of Cold Storage Equipment</t>
  </si>
  <si>
    <t>Additional cold storage equipment for expansion</t>
  </si>
  <si>
    <t>Shortfall of cold storage space after expansion</t>
  </si>
  <si>
    <t>Unit Cost</t>
  </si>
  <si>
    <t>Proportion (%)</t>
  </si>
  <si>
    <t>Maximum Cold Storage Space Required (cm3)</t>
  </si>
  <si>
    <t>Detailed Distribution Costs Estimates</t>
  </si>
  <si>
    <t>Baseline Exchange Rate</t>
  </si>
  <si>
    <t>Baseline Year Exchange Rate</t>
  </si>
  <si>
    <t>LU_FLU_Baseline_Exchange_Rate</t>
  </si>
  <si>
    <t>COSTING  WORKSHEETS</t>
  </si>
  <si>
    <t>SET UP</t>
  </si>
  <si>
    <t xml:space="preserve">from service delivery proportions file (Sarah Pallas) </t>
  </si>
  <si>
    <t>Distribution Estimates</t>
  </si>
  <si>
    <t>LOOK UP TABLES</t>
  </si>
  <si>
    <t>Time Series Lookup Tables</t>
  </si>
  <si>
    <t>Labels - (For Customizing this Tool)</t>
  </si>
  <si>
    <t>Distribution</t>
  </si>
  <si>
    <t>List up to 3 Different Types of Distribution Activities</t>
  </si>
  <si>
    <t>Cold Chain Expansion</t>
  </si>
  <si>
    <t>Detailed Other Activities</t>
  </si>
  <si>
    <t>REQUIRED</t>
  </si>
  <si>
    <t>OPTIONAL</t>
  </si>
  <si>
    <t>REPORTS</t>
  </si>
  <si>
    <t>List up to 3 Different Types of Routine Immunization Activities</t>
  </si>
  <si>
    <t>1.</t>
  </si>
  <si>
    <t>2.</t>
  </si>
  <si>
    <t>Routine Immunization Activities - HW</t>
  </si>
  <si>
    <t>Routine Immunization Activity- HW</t>
  </si>
  <si>
    <t>LU_FLU_Routine_Immun_HW</t>
  </si>
  <si>
    <t>Special Immunization Activities - HW</t>
  </si>
  <si>
    <t>Special Immunization Activity - HW</t>
  </si>
  <si>
    <t>LU_FLU_Special_Immuni_Actv_HW</t>
  </si>
  <si>
    <t>Front Line Health Workers working in facilities with more than 200 workers</t>
  </si>
  <si>
    <t>Front Line Health Workers working in facilities with 100 to 200 workers</t>
  </si>
  <si>
    <t>Front Line Health Workers working in facilities with fewer than 100 workers</t>
  </si>
  <si>
    <t>Immunization Activities</t>
  </si>
  <si>
    <t>List Immunization Activity Types</t>
  </si>
  <si>
    <t>Service Delivery - Immunization Activities</t>
  </si>
  <si>
    <t>Routine Immunization by a Facility Nurse</t>
  </si>
  <si>
    <t>Service Delivery - Special Immunization Activity Category 3</t>
  </si>
  <si>
    <t>Number Targeted for Vaccination - by Target Population Group</t>
  </si>
  <si>
    <t>Targeted</t>
  </si>
  <si>
    <t>% Immunized through this Service Delivery  Method</t>
  </si>
  <si>
    <t>Estimated  Number of Vaccinations Delivered in a Single Instance of This Service Delivery Activity</t>
  </si>
  <si>
    <t xml:space="preserve">Scope of Activity: </t>
  </si>
  <si>
    <t>Develop a Single National Level Plan for Seasonal Influenza Programme Preparation, Administration, and Management</t>
  </si>
  <si>
    <t>Develop a Single Public Health Directorate Level Plan for Seasonal Influenza Programme Preparation, Administration, and Management</t>
  </si>
  <si>
    <t>Scope of Activity</t>
  </si>
  <si>
    <t>Distribution Activities</t>
  </si>
  <si>
    <t>Distribution Activty</t>
  </si>
  <si>
    <t>LU_FLU_Distribution_Activities</t>
  </si>
  <si>
    <t>Number of this Activity to be Completed</t>
  </si>
  <si>
    <t>Number of this Activity Required to Achieve Intended Coverage</t>
  </si>
  <si>
    <t>Routine Immunization by an Home Visit Nurse</t>
  </si>
  <si>
    <t>Routine Immunization by a Satellite Outreach Nurse</t>
  </si>
  <si>
    <t>number of vaccinations per single activity)</t>
  </si>
  <si>
    <t>number of targeted population</t>
  </si>
  <si>
    <t>Covered (based on target coverage rate)</t>
  </si>
  <si>
    <t>%Covered  Immunized through this Service Delivery  Method</t>
  </si>
  <si>
    <t>Go to Home Page</t>
  </si>
  <si>
    <t>Supervision and Monitoring Activities</t>
  </si>
  <si>
    <t>Target Population Groups</t>
  </si>
  <si>
    <t>Target Population Group</t>
  </si>
  <si>
    <t>LU_FLU_TargetPopGroups</t>
  </si>
  <si>
    <t>SUBTOTAL TOTAL ROUTINE IMMUNIZATION ACTIVITIES</t>
  </si>
  <si>
    <t>SUBTOTAL SPECIAL IMMUNIZATION ACTIVITIES</t>
  </si>
  <si>
    <t>Program Officer (Iria)</t>
  </si>
  <si>
    <t>Immunization Program Manager (Erida)</t>
  </si>
  <si>
    <t>Logistics (Fuat)</t>
  </si>
  <si>
    <t>Storekeeper (Gjergji)</t>
  </si>
  <si>
    <t>Program Assistant (Eri)</t>
  </si>
  <si>
    <t>Pharmacist Assistant</t>
  </si>
  <si>
    <t>Pharmacist (Secondary)</t>
  </si>
  <si>
    <t>Pharmacist - (Tertiary)</t>
  </si>
  <si>
    <t>Logistician (IPH)</t>
  </si>
  <si>
    <t>Program Manager (IPH)</t>
  </si>
  <si>
    <t>Medical Doctor (Infection Specialist)</t>
  </si>
  <si>
    <t>Program Assistant (IPH)</t>
  </si>
  <si>
    <t>Medical Doctor (Tertiary - nozokomial)</t>
  </si>
  <si>
    <t>Program Officer (IPH)</t>
  </si>
  <si>
    <t>Storekeeper (IPH)</t>
  </si>
  <si>
    <t>Head - Infectious Disease Control Dept</t>
  </si>
  <si>
    <t>Silvia</t>
  </si>
  <si>
    <t>Epidemiologist - Infectious Disease (IPH)</t>
  </si>
  <si>
    <t>DPH Head of Vaccinators</t>
  </si>
  <si>
    <t>DPH Finance Officer</t>
  </si>
  <si>
    <t>Accountant (IPH)</t>
  </si>
  <si>
    <t>Driver (IPH)</t>
  </si>
  <si>
    <t>Personnel 23</t>
  </si>
  <si>
    <t>Personnel 24</t>
  </si>
  <si>
    <t>Personnel 25</t>
  </si>
  <si>
    <t>Invoice book</t>
  </si>
  <si>
    <t>1 book</t>
  </si>
  <si>
    <t>Per diem (per person per day)</t>
  </si>
  <si>
    <t>Minivan</t>
  </si>
  <si>
    <t>Pickup Truck</t>
  </si>
  <si>
    <t>Cold Room</t>
  </si>
  <si>
    <t>Prepare customs release</t>
  </si>
  <si>
    <t>Translation of package insert, adaptation of leaflets and AEFI form</t>
  </si>
  <si>
    <t>Planning distribution plan</t>
  </si>
  <si>
    <t>Plan routes and arrange cars/drivers</t>
  </si>
  <si>
    <t>Distribution from IPH to DPH: roundtrip all 12 routes</t>
  </si>
  <si>
    <t>Distribution from IPH to DPH: roundtrip 10 of 12 routes (more than 100 km)</t>
  </si>
  <si>
    <t>Distribution from IPH to DPH: roundtrip 2 of 12 routes (less than 100 km)</t>
  </si>
  <si>
    <t>Meeting with DPH head of vaccinators to unload vaccines</t>
  </si>
  <si>
    <t>Unloading refrigerated truck</t>
  </si>
  <si>
    <t>Preparation of release invoice forms and district packages</t>
  </si>
  <si>
    <t>Meeting with DPH finance officer to finalize procedure</t>
  </si>
  <si>
    <t>Processing invoices at IPH</t>
  </si>
  <si>
    <t>Distribution from DPH to HFs: HF staff come to pick up at DPH</t>
  </si>
  <si>
    <t>Head Nurse</t>
  </si>
  <si>
    <t>Assume 1 day of time (8 hours) for each head nurse to come to DPH to pick up vaccine and transport it back to HF; assume for all primary HCs (415) and secondary HFs (35) = 450 HFs; assume that for 5 tertiary hospitals in Tirana, vaccines were not distributed through DPH but directly to hospital?  Confirm with Erida</t>
  </si>
  <si>
    <t>Distribution to all Public Health Directorates (12, including 2 long distance)</t>
  </si>
  <si>
    <t>Assumes 1 day of time (8 hours) for each head nurse to come to DPH to pick up vaccine and transport it back to HF</t>
  </si>
  <si>
    <t>Assumes for all primary HCs (415) and secondary HFs (35) = 450 HFs</t>
  </si>
  <si>
    <t>Assumes that for 5 tertiary hospitals in Tirana, vaccines were not distributed through DPH but directly to hospital.</t>
  </si>
  <si>
    <t>Notes and Source(s) of Informations</t>
  </si>
  <si>
    <t xml:space="preserve">Tertiary front line health workers count from Sarah Pallas April 7 via Excel file "Tertiary </t>
  </si>
  <si>
    <t>facilities service delivery and promotion 7april 2017"</t>
  </si>
  <si>
    <t>TUH/Mother Teresa</t>
  </si>
  <si>
    <t>Maternity 1</t>
  </si>
  <si>
    <t>Maternity 2</t>
  </si>
  <si>
    <t>Trauma</t>
  </si>
  <si>
    <t>Pneumology</t>
  </si>
  <si>
    <t xml:space="preserve"> Sarah Pallas' notes say, "Confirm with Erida."</t>
  </si>
  <si>
    <t>1 vaccination administered</t>
  </si>
  <si>
    <t>Administer 20 vaccinations</t>
  </si>
  <si>
    <t>record 19 vaccinations</t>
  </si>
  <si>
    <t>refusal form at 5% rate of refusal</t>
  </si>
  <si>
    <t>Cost Estimate</t>
  </si>
  <si>
    <t>[not defined]</t>
  </si>
  <si>
    <t>Complete 20 vacc records + 1 refusal form</t>
  </si>
  <si>
    <t>Complete Record of Injection</t>
  </si>
  <si>
    <t xml:space="preserve"> For recording vaccination</t>
  </si>
  <si>
    <t>Record vaccination</t>
  </si>
  <si>
    <t>record vaccination</t>
  </si>
  <si>
    <t xml:space="preserve">National press release for Health Care Worker vaccination </t>
  </si>
  <si>
    <t>Media appearances/ interviews  on National  TV and Radio</t>
  </si>
  <si>
    <t>Scope of Activity:</t>
  </si>
  <si>
    <t>Financial Cost</t>
  </si>
  <si>
    <t>Economic Cost</t>
  </si>
  <si>
    <t>Total Economic Cost</t>
  </si>
  <si>
    <t>Total Financial Cost</t>
  </si>
  <si>
    <t>Unit Capacity (cm3)</t>
  </si>
  <si>
    <t>TOTAL EXPANSION (cm3)</t>
  </si>
  <si>
    <t>Useful Life Years</t>
  </si>
  <si>
    <t>Financial Cost (ANNUALIZED)</t>
  </si>
  <si>
    <t>Economic Cost (ANNUALIZED)</t>
  </si>
  <si>
    <t>Unit Cost (Annualized)</t>
  </si>
  <si>
    <t>Proportion</t>
  </si>
  <si>
    <t>Average storage space (cm3) available per cold store for Seasonal Influenza Vaccines before expansion (cm3)</t>
  </si>
  <si>
    <t>TOTAL cold storage space (cm3) available for Seasonal Influenza Vaccines at this level before expansion (cm3)</t>
  </si>
  <si>
    <t>Number of Cold Stores at this level</t>
  </si>
  <si>
    <t>SIICT</t>
  </si>
  <si>
    <t>Seasonal Influenza Immunization Costing Tool</t>
  </si>
  <si>
    <t>Develop Annual Influenza Programme Plan and Budget</t>
  </si>
  <si>
    <t>IPH meets w/ District Epidemiologists to Prepare for Flu Vaccination Activities</t>
  </si>
  <si>
    <t>District Epidemiologists Meet w/ Health Facility Teams to Prepare</t>
  </si>
  <si>
    <t>PROJECTED FINANCIAL TOTAL</t>
  </si>
  <si>
    <t>PROJECTED ECONOMIC TOTAL</t>
  </si>
  <si>
    <t>PROJECTED # IMMUNIZED</t>
  </si>
  <si>
    <t>COST PER PERSON IMMUNIZED (FIN)</t>
  </si>
  <si>
    <t>COST PER PERSON IMMUNIZED (ECON)</t>
  </si>
  <si>
    <t>PREDICTED OUTCOMES</t>
  </si>
  <si>
    <t># Eligible</t>
  </si>
  <si>
    <t># Vaccinated</t>
  </si>
  <si>
    <t>ALL ROUTINE DELIVERY STRATEGIES</t>
  </si>
  <si>
    <t>ALL SPECIAL DELIVERY STRATEGIES</t>
  </si>
  <si>
    <t># DELIVERED</t>
  </si>
  <si>
    <t>% DELIVERED</t>
  </si>
  <si>
    <t>TOTAL IMMUNIZATIONS DELIVERED</t>
  </si>
  <si>
    <t>PREDICTED COSTS</t>
  </si>
  <si>
    <t>TARGET POPULATION</t>
  </si>
  <si>
    <t>TOTAL RECURRENT COSTS</t>
  </si>
  <si>
    <t>TOTAL CAPITAL COSTS (ANNUALIZED)</t>
  </si>
  <si>
    <t>Other Recurrent Activity 1</t>
  </si>
  <si>
    <t>Other Recurrent Activity 2</t>
  </si>
  <si>
    <t>Other Recurrent Activity 3</t>
  </si>
  <si>
    <t>1. List up to 3 Different Types of Other Recurring Activities</t>
  </si>
  <si>
    <t>[No Scope Defined}</t>
  </si>
  <si>
    <t>Capital Equipment Acquisition Activities</t>
  </si>
  <si>
    <t>Capital Equipment Acquisition Activity</t>
  </si>
  <si>
    <t>LU_FLU_Cap_Equip_Acquis</t>
  </si>
  <si>
    <t>Acquisition</t>
  </si>
  <si>
    <t>2. Other Capital Equipment Acquisition Types</t>
  </si>
  <si>
    <t>Vehicle Acquisition</t>
  </si>
  <si>
    <t>Other Equipment (not Cold Chain) Acquisition</t>
  </si>
  <si>
    <t>Other Capital Costs not elsewhere included</t>
  </si>
  <si>
    <t>Limited to vehicle acquisition</t>
  </si>
  <si>
    <t>Limited to capital equipment acquisition</t>
  </si>
  <si>
    <t>ACTIVITY COST:</t>
  </si>
  <si>
    <t>Unit Cost (Financial) - ANNUALIZED:</t>
  </si>
  <si>
    <t>Unit Cost (Economic) ANNUALIZED:</t>
  </si>
  <si>
    <t>Cold Chain Expansion Activities</t>
  </si>
  <si>
    <t>List up to 3 Different Types of Cold Chain Expansion Activities</t>
  </si>
  <si>
    <t>Total Financial Cost (ANNUALIZED)</t>
  </si>
  <si>
    <t>Total Economic Cost (ANNUALIZED)</t>
  </si>
  <si>
    <t>Republic Level Cold Storage Expansion</t>
  </si>
  <si>
    <t>County Level Cold Storage Expansion</t>
  </si>
  <si>
    <t>Health Facility Cold Storage Expansion</t>
  </si>
  <si>
    <t>Cold Chain Activities</t>
  </si>
  <si>
    <t>Cold Chain Activitie</t>
  </si>
  <si>
    <t>LU_FLU_Cold_Chain</t>
  </si>
  <si>
    <t>Estimated Cold Storage Volume Required at this Level</t>
  </si>
  <si>
    <t>Number of Units to be Stored at this Level's Cold Stores</t>
  </si>
  <si>
    <t>Required Cold Storage Expansion at this Level</t>
  </si>
  <si>
    <t>Estimated Cost for  Cold Storage Expansion at this Level</t>
  </si>
  <si>
    <t>Average Number of Units to be Stored at each Cold Store at this Level</t>
  </si>
  <si>
    <t>Cold Storage Expansion</t>
  </si>
  <si>
    <t>Other Capital Acquisitions</t>
  </si>
  <si>
    <t>Subtotal: Cold Storage Expansion (Annualized)</t>
  </si>
  <si>
    <t>Subtotal: Other Capital Acquisitions (Annualized)</t>
  </si>
  <si>
    <t>TOTAL PREDICTED COSTS</t>
  </si>
  <si>
    <r>
      <rPr>
        <b/>
        <sz val="11"/>
        <color rgb="FF7030A0"/>
        <rFont val="Calibri Light"/>
        <family val="2"/>
      </rPr>
      <t xml:space="preserve">SELECT </t>
    </r>
    <r>
      <rPr>
        <b/>
        <sz val="11"/>
        <color rgb="FF7030A0"/>
        <rFont val="Calibri Light"/>
        <family val="2"/>
        <scheme val="minor"/>
      </rPr>
      <t>REPORTING CURRENCY</t>
    </r>
  </si>
  <si>
    <t>Responsible User for the Tool:</t>
  </si>
  <si>
    <t>PREDICTED RATIOS</t>
  </si>
  <si>
    <t>COST PER FULLY IMMUNIZED PERSON (FIP)</t>
  </si>
  <si>
    <t>INCLUDING VACCINE COST</t>
  </si>
  <si>
    <t>WITHOUT VACCINE COST</t>
  </si>
  <si>
    <t>DELIVERED THROUGH ROUTINE SERVICES</t>
  </si>
  <si>
    <t>DELIVERED THROUGH SPECIAL IMMUNIZATION ACTIVITIES (SIA)</t>
  </si>
  <si>
    <t>#</t>
  </si>
  <si>
    <t>(CLICK TO CHANGE CURRENCY VIA DASHBOARD)</t>
  </si>
  <si>
    <t>ROUTINE SERVICE DELIVERY</t>
  </si>
  <si>
    <t>SPECIAL IMMUNIZATION ACTIVITIES (SIA)</t>
  </si>
  <si>
    <t>Select Currency</t>
  </si>
  <si>
    <t>Select Financial or Economic Cost</t>
  </si>
  <si>
    <t>Service Delivery - Analysis</t>
  </si>
  <si>
    <t>Activity</t>
  </si>
  <si>
    <t>Category</t>
  </si>
  <si>
    <t>20 vaccinations per day</t>
  </si>
  <si>
    <t>Plan and prepare for distribution.</t>
  </si>
  <si>
    <t>Distribute Vacc Materials from IPH to 12 Directorates</t>
  </si>
  <si>
    <t>Distribute Vacc Materials from 12 Directorates to Health Facilities</t>
  </si>
  <si>
    <t>SIA - Team of 2 Nurses - Full Working Day</t>
  </si>
  <si>
    <t>SIA - Team of 1 Doctor and 1 Nurse - Full Working Day</t>
  </si>
  <si>
    <t>INCREMENTAL COSTING SUMMARY</t>
  </si>
  <si>
    <t>RECURRENT ACTIVITIES (EXCEPT PROCUREMENT)</t>
  </si>
  <si>
    <t>PROCUREMENT</t>
  </si>
  <si>
    <t>TOTAL PROCUREMENT</t>
  </si>
  <si>
    <t>TOTAL RECURRENT ACTIVITIES (EXCEPT PROCUREMENT)</t>
  </si>
  <si>
    <t>CAPITAL COSTS (ANNUALIZED)</t>
  </si>
  <si>
    <t>Annual Plan and Budget Developed</t>
  </si>
  <si>
    <t xml:space="preserve">Plan and Informational Materials Provided </t>
  </si>
  <si>
    <t>[Available for Additional Microplanning Activity]</t>
  </si>
  <si>
    <t>Plan and Preparation Completed</t>
  </si>
  <si>
    <t>Distribution to Directorats Completed</t>
  </si>
  <si>
    <t>Health Facilities have picked up Vacc Materials</t>
  </si>
  <si>
    <t>24 PHD Representatives Prepared in Tirana</t>
  </si>
  <si>
    <t>Info/promo/schedules received by Health Facility Teams</t>
  </si>
  <si>
    <t>[Available for Additional Training Activity]</t>
  </si>
  <si>
    <t>Media relations established</t>
  </si>
  <si>
    <t>Press Inquiries managed during vaccination prep and campaign</t>
  </si>
  <si>
    <t>1 press release provided to national press</t>
  </si>
  <si>
    <t>1 media appearance/ interview completed on nonpaid media</t>
  </si>
  <si>
    <t>PROPORTIONS (%) - BY TARGET POPULATION AND SERVICE DELIVERY TYPE</t>
  </si>
  <si>
    <t>NUMBERS (#) - BY TARGET POPULATION AND SERVICE DELIVERY TYPE</t>
  </si>
  <si>
    <t>COSTS - BY TARGET POPULATION AND SERVICE DELIVERY TYPE</t>
  </si>
  <si>
    <t>Planned Number</t>
  </si>
  <si>
    <t>TOTAL COSTS (ANNUALIZED)</t>
  </si>
  <si>
    <t>Test Country</t>
  </si>
  <si>
    <t>Nation</t>
  </si>
  <si>
    <t>National</t>
  </si>
  <si>
    <t>Region</t>
  </si>
  <si>
    <t>Regions</t>
  </si>
  <si>
    <t>Regional</t>
  </si>
  <si>
    <t>District</t>
  </si>
  <si>
    <t>Districts</t>
  </si>
  <si>
    <t>What is the name of the location where this costing is being done?</t>
  </si>
  <si>
    <t>What are the names of the administrative hierarchical divisions in the location (e.g. nation, region, district) which are used in this analysis?</t>
  </si>
  <si>
    <t>Dashboard</t>
  </si>
  <si>
    <t>Section 4.</t>
  </si>
  <si>
    <t>Sub-Section 4.1.</t>
  </si>
  <si>
    <t>4.1.</t>
  </si>
  <si>
    <t>Sub-Section 4.2.</t>
  </si>
  <si>
    <t>4.2.</t>
  </si>
  <si>
    <t>Sub-Section 4.3.</t>
  </si>
  <si>
    <t>4.3.</t>
  </si>
  <si>
    <t>Detailed  Costing Assumptions Worksheets (Optional)</t>
  </si>
  <si>
    <t>Estimate the cost of a single instance of each activity, and then estimate how many instances of each activity will be c ompleted.</t>
  </si>
  <si>
    <t>Gozinta</t>
  </si>
  <si>
    <t>GOZ</t>
  </si>
  <si>
    <t>Gozintas</t>
  </si>
  <si>
    <t>BASELINE EXCHANGE RATE (FROM FINANCIAL)</t>
  </si>
  <si>
    <t>Graphs &amp; Charts</t>
  </si>
  <si>
    <t>Recurrent Cost Line Items</t>
  </si>
  <si>
    <t>Recurrent Cost Line Item</t>
  </si>
  <si>
    <t>LU_FLU_Recurrent_Cost_Line_Items</t>
  </si>
  <si>
    <t>SELECT CATEGORY</t>
  </si>
  <si>
    <t>INCREMENTAL COST - BY SERVICE DELIVERY TYPE</t>
  </si>
  <si>
    <t>COST PER SERVICE ( ONE VACCINATION)</t>
  </si>
  <si>
    <t>Routine Immunization Service</t>
  </si>
  <si>
    <t>Special Immunization Activity</t>
  </si>
  <si>
    <t>SERVICE DELIVERY IN THIS SCENARIO - BY SERVICE DELIVERY TYPE</t>
  </si>
  <si>
    <t>WHAT IF SCENARIO - BY SERVICE DELIVERY TYPE</t>
  </si>
  <si>
    <t>FINANCIAL COST</t>
  </si>
  <si>
    <t>ECONOMIC COST</t>
  </si>
  <si>
    <r>
      <rPr>
        <b/>
        <sz val="11"/>
        <color rgb="FF7030A0"/>
        <rFont val="Calibri Light"/>
        <family val="2"/>
      </rPr>
      <t xml:space="preserve">SELECT </t>
    </r>
    <r>
      <rPr>
        <b/>
        <sz val="11"/>
        <color rgb="FF7030A0"/>
        <rFont val="Calibri Light"/>
        <family val="2"/>
        <scheme val="minor"/>
      </rPr>
      <t xml:space="preserve">REPORTING CURRENCY: </t>
    </r>
  </si>
  <si>
    <t>PLANNED STRATEGY</t>
  </si>
  <si>
    <t>RECURRENT COSTS</t>
  </si>
  <si>
    <t>Perspective</t>
  </si>
  <si>
    <t>Vaccinated</t>
  </si>
  <si>
    <t>Financing</t>
  </si>
  <si>
    <t>GLOBAL FUND</t>
  </si>
  <si>
    <t>TOTAL FUNDING</t>
  </si>
  <si>
    <t>CDC</t>
  </si>
  <si>
    <t>WHO</t>
  </si>
  <si>
    <t>MOH</t>
  </si>
  <si>
    <t>VACCINE &amp; INJ. SUPPLY COSTS</t>
  </si>
  <si>
    <t>TOTAL VACCINE &amp; INJ. SUPPLY COSTS</t>
  </si>
  <si>
    <t>RECURRENT COSTS (EXCEPT VACCINE &amp; INJ. SUPPLY)</t>
  </si>
  <si>
    <t>TOTAL RECURRENT COSTS (EXCEPT VACC &amp; INJ. SUPPL)</t>
  </si>
  <si>
    <t>IPH</t>
  </si>
  <si>
    <t>AMOUNT</t>
  </si>
  <si>
    <t>SUMMARY - COSTS</t>
  </si>
  <si>
    <t>CAPITAL  INVESTMENT COSTS (NOT Annualized)</t>
  </si>
  <si>
    <t>TOTAL RECURRENT (INCLUD VACC &amp; INJ SUPPL)</t>
  </si>
  <si>
    <t>SUMMARY - TOTAL COSTS</t>
  </si>
  <si>
    <t xml:space="preserve">TOTAL CAPITAL  INVESTMENT COSTS </t>
  </si>
  <si>
    <r>
      <rPr>
        <b/>
        <sz val="11"/>
        <color rgb="FFC00000"/>
        <rFont val="Calibri Light"/>
        <family val="2"/>
        <scheme val="minor"/>
      </rPr>
      <t>(SHORTFALL)</t>
    </r>
    <r>
      <rPr>
        <b/>
        <sz val="11"/>
        <rFont val="Calibri Light"/>
        <family val="2"/>
        <scheme val="minor"/>
      </rPr>
      <t xml:space="preserve"> EXCESS (IF &gt;0)</t>
    </r>
  </si>
  <si>
    <t>CURRRENCY</t>
  </si>
  <si>
    <t>UNICEF</t>
  </si>
  <si>
    <t>User</t>
  </si>
  <si>
    <t>Notes/ Sources of Information</t>
  </si>
  <si>
    <t>Group 1</t>
  </si>
  <si>
    <t>Target Group 1</t>
  </si>
  <si>
    <t>Group 2</t>
  </si>
  <si>
    <t>Target Group 2 [not in use]</t>
  </si>
  <si>
    <t>Group 3</t>
  </si>
  <si>
    <t>Target Group 3 [not in use]</t>
  </si>
  <si>
    <t>Group 4</t>
  </si>
  <si>
    <t>Target Group 4 [not in use]</t>
  </si>
  <si>
    <t>Subgroups within Defined groups targeted for vaccination</t>
  </si>
  <si>
    <t>Changes to the Tool:</t>
  </si>
  <si>
    <r>
      <t>- The links 'go to detailed costing estimate for: ...' </t>
    </r>
    <r>
      <rPr>
        <sz val="11"/>
        <rFont val="Calibri"/>
        <family val="2"/>
      </rPr>
      <t>links</t>
    </r>
    <r>
      <rPr>
        <sz val="12"/>
        <color rgb="FF000000"/>
        <rFont val="Calibri"/>
        <family val="2"/>
      </rPr>
      <t xml:space="preserve"> in the supervision tab  were changed to lead to  the detailed costing for supervision instead of training.</t>
    </r>
  </si>
  <si>
    <t>- The links 'go to detailed costing estimate for: ...' links in the social mobilisation tab were changed to lead  to the detailed costing for  social mobilisation instead of training.</t>
  </si>
  <si>
    <t xml:space="preserve"> -  Currency names were added in the tool to make it clear that the procurement prices are to be entered in International currency (specified in the Financial Worsheet) and not local currency.</t>
  </si>
  <si>
    <t>- Boxes for notes and source of information have been placed throughout the procurement section.</t>
  </si>
  <si>
    <t>- The user may now disable or remove target groups from The file, so that The flutool can be focused on fewer than 4 groups.</t>
  </si>
  <si>
    <t>V1.2</t>
  </si>
  <si>
    <t>win@levinmorgan.com</t>
  </si>
  <si>
    <t>Detailed Supervision Costs - Assumptions Worksheets</t>
  </si>
  <si>
    <t>V1.2.1</t>
  </si>
  <si>
    <t>-Standardized the naming convention of detailed cost estimate titles to include "Detailed Cost Estimate:" in front of the name.</t>
  </si>
  <si>
    <t>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</si>
</sst>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0_);\(###0\);_(&quot;-&quot;_);_)@_)"/>
    <numFmt numFmtId="165" formatCode="_)m/d/yy_);_)m/d/yy_);_)&quot;-&quot;_);_)@_)"/>
    <numFmt numFmtId="166" formatCode="_(#,##0.0_);\(#,##0.0\);_(&quot;-&quot;_);_)@_)"/>
    <numFmt numFmtId="167" formatCode="_(#,##0.0%_);\(#,##0.0%\);_(&quot;-&quot;_);_)@_)"/>
    <numFmt numFmtId="168" formatCode="_(#,##0.0\x_);\(#,##0.0\x\);_(&quot;-&quot;_);_)@_)"/>
    <numFmt numFmtId="169" formatCode="_(&quot;$&quot;#,##0.0_);\(&quot;$&quot;#,##0.0\);_(&quot;-&quot;_);_)@_)"/>
    <numFmt numFmtId="170" formatCode="_(#,##0_);\(#,##0\);_(#,##0_);_)@_)"/>
    <numFmt numFmtId="171" formatCode="_(#,##0_);\(#,##0\);_(&quot;-&quot;_);_)@_)"/>
    <numFmt numFmtId="172" formatCode="#,##0."/>
    <numFmt numFmtId="173" formatCode="mmmm\ yyyy"/>
    <numFmt numFmtId="174" formatCode="_(#,##0.00_);\(#,##0.00\);_(&quot;-&quot;_);_)@_)"/>
    <numFmt numFmtId="175" formatCode="_(&quot;$&quot;#,##0.00_);\(&quot;$&quot;#,##0.00\);_(&quot;-&quot;_);_)@_)"/>
    <numFmt numFmtId="176" formatCode="_(###0_);\(###0\);_(&quot;-&quot;_);@_)"/>
    <numFmt numFmtId="177" formatCode="_(#,##0%_);\(#,##0%\);_(&quot;-&quot;_);_)@_)"/>
    <numFmt numFmtId="178" formatCode="_(&quot;$&quot;#,##0_);\(&quot;$&quot;#,##0\);_(&quot;-&quot;_);_)@_)"/>
    <numFmt numFmtId="179" formatCode="_(* #,##0_);_(* \(#,##0\);_(* &quot;-&quot;??_);_(@_)"/>
    <numFmt numFmtId="180" formatCode="&quot;$&quot;#,##0.00"/>
    <numFmt numFmtId="181" formatCode="&quot;$&quot;#,##0"/>
    <numFmt numFmtId="182" formatCode="0.0%"/>
    <numFmt numFmtId="183" formatCode="[$-409]General"/>
    <numFmt numFmtId="184" formatCode="0.0"/>
    <numFmt numFmtId="185" formatCode="_(#,##0.00000_);\(#,##0.00000\);_(&quot;-&quot;_);_)@_)"/>
    <numFmt numFmtId="186" formatCode="_(&quot;$&quot;* #,##0_);_(&quot;$&quot;* \(#,##0\);_(&quot;$&quot;* &quot;-&quot;??_);_(@_)"/>
    <numFmt numFmtId="187" formatCode="_(* #,##0.0_);_(* \(#,##0.0\);_(* &quot;-&quot;??_);_(@_)"/>
  </numFmts>
  <fonts count="149">
    <font>
      <sz val="11"/>
      <name val="Calibri Light"/>
      <family val="2"/>
      <scheme val="minor"/>
    </font>
    <font>
      <sz val="11"/>
      <color theme="1"/>
      <name val="Calibri"/>
      <family val="2"/>
    </font>
    <font>
      <sz val="11"/>
      <name val="Tahoma"/>
      <family val="2"/>
    </font>
    <font>
      <b/>
      <sz val="16"/>
      <name val="Calibri"/>
      <family val="2"/>
      <scheme val="major"/>
    </font>
    <font>
      <b/>
      <sz val="15"/>
      <name val="Calibri"/>
      <family val="2"/>
      <scheme val="major"/>
    </font>
    <font>
      <b/>
      <sz val="14"/>
      <name val="Calibri"/>
      <family val="2"/>
      <scheme val="major"/>
    </font>
    <font>
      <b/>
      <sz val="13"/>
      <name val="Calibri"/>
      <family val="2"/>
      <scheme val="major"/>
    </font>
    <font>
      <b/>
      <sz val="12"/>
      <name val="Calibri"/>
      <family val="2"/>
      <scheme val="major"/>
    </font>
    <font>
      <b/>
      <sz val="11"/>
      <name val="Calibri"/>
      <family val="2"/>
      <scheme val="major"/>
    </font>
    <font>
      <sz val="11"/>
      <name val="Calibri"/>
      <family val="2"/>
      <scheme val="major"/>
    </font>
    <font>
      <sz val="11"/>
      <name val="Calibri Light"/>
      <family val="2"/>
      <scheme val="minor"/>
    </font>
    <font>
      <b/>
      <sz val="11"/>
      <name val="Calibri Light"/>
      <family val="2"/>
      <scheme val="minor"/>
    </font>
    <font>
      <u/>
      <sz val="11"/>
      <color indexed="56"/>
      <name val="Calibri Light"/>
      <family val="2"/>
      <scheme val="minor"/>
    </font>
    <font>
      <sz val="11"/>
      <color indexed="56"/>
      <name val="Wingdings"/>
      <charset val="2"/>
    </font>
    <font>
      <b/>
      <u/>
      <sz val="13"/>
      <color indexed="56"/>
      <name val="Calibri Light"/>
      <family val="2"/>
      <scheme val="minor"/>
    </font>
    <font>
      <b/>
      <u/>
      <sz val="12"/>
      <color indexed="56"/>
      <name val="Calibri Light"/>
      <family val="2"/>
      <scheme val="minor"/>
    </font>
    <font>
      <sz val="11"/>
      <color indexed="56"/>
      <name val="Calibri Light"/>
      <family val="2"/>
      <scheme val="minor"/>
    </font>
    <font>
      <b/>
      <sz val="13"/>
      <color indexed="60"/>
      <name val="Calibri"/>
      <family val="2"/>
      <scheme val="major"/>
    </font>
    <font>
      <b/>
      <sz val="16"/>
      <color indexed="60"/>
      <name val="Calibri"/>
      <family val="2"/>
      <scheme val="major"/>
    </font>
    <font>
      <b/>
      <sz val="11"/>
      <color indexed="60"/>
      <name val="Calibri"/>
      <family val="2"/>
      <scheme val="major"/>
    </font>
    <font>
      <sz val="11"/>
      <color indexed="60"/>
      <name val="Calibri"/>
      <family val="2"/>
      <scheme val="major"/>
    </font>
    <font>
      <b/>
      <sz val="14"/>
      <color indexed="8"/>
      <name val="Calibri"/>
      <family val="2"/>
      <scheme val="major"/>
    </font>
    <font>
      <b/>
      <sz val="15"/>
      <color indexed="60"/>
      <name val="Calibri"/>
      <family val="2"/>
      <scheme val="major"/>
    </font>
    <font>
      <sz val="11"/>
      <color indexed="60"/>
      <name val="Calibri Light"/>
      <family val="2"/>
      <scheme val="minor"/>
    </font>
    <font>
      <sz val="11"/>
      <color rgb="FFFFFFFF"/>
      <name val="Calibri Light"/>
      <family val="2"/>
      <scheme val="minor"/>
    </font>
    <font>
      <sz val="11"/>
      <color indexed="59"/>
      <name val="Calibri Light"/>
      <family val="2"/>
      <scheme val="minor"/>
    </font>
    <font>
      <b/>
      <sz val="11"/>
      <color indexed="59"/>
      <name val="Calibri Light"/>
      <family val="2"/>
      <scheme val="minor"/>
    </font>
    <font>
      <sz val="11"/>
      <color indexed="8"/>
      <name val="Calibri Light"/>
      <family val="2"/>
      <scheme val="minor"/>
    </font>
    <font>
      <b/>
      <sz val="11"/>
      <color indexed="8"/>
      <name val="Calibri Light"/>
      <family val="2"/>
      <scheme val="minor"/>
    </font>
    <font>
      <sz val="11"/>
      <color indexed="59"/>
      <name val="Calibri"/>
      <family val="2"/>
      <scheme val="major"/>
    </font>
    <font>
      <b/>
      <sz val="11"/>
      <color indexed="59"/>
      <name val="Calibri"/>
      <family val="2"/>
      <scheme val="major"/>
    </font>
    <font>
      <b/>
      <sz val="14"/>
      <color indexed="59"/>
      <name val="Calibri"/>
      <family val="2"/>
      <scheme val="major"/>
    </font>
    <font>
      <b/>
      <sz val="12"/>
      <color indexed="60"/>
      <name val="Calibri"/>
      <family val="2"/>
      <scheme val="major"/>
    </font>
    <font>
      <b/>
      <sz val="11"/>
      <color indexed="60"/>
      <name val="Calibri Light"/>
      <family val="2"/>
      <scheme val="minor"/>
    </font>
    <font>
      <sz val="11"/>
      <color indexed="8"/>
      <name val="Calibri"/>
      <family val="2"/>
      <scheme val="major"/>
    </font>
    <font>
      <b/>
      <sz val="12"/>
      <color indexed="8"/>
      <name val="Calibri"/>
      <family val="2"/>
      <scheme val="major"/>
    </font>
    <font>
      <b/>
      <sz val="11"/>
      <color indexed="8"/>
      <name val="Calibri"/>
      <family val="2"/>
      <scheme val="major"/>
    </font>
    <font>
      <sz val="11"/>
      <color rgb="FF000000"/>
      <name val="Calibri Light"/>
      <family val="2"/>
      <scheme val="minor"/>
    </font>
    <font>
      <sz val="8"/>
      <color rgb="FF000000"/>
      <name val="Tahoma"/>
      <family val="2"/>
    </font>
    <font>
      <sz val="10"/>
      <name val="Arial"/>
      <family val="2"/>
    </font>
    <font>
      <b/>
      <sz val="11"/>
      <name val="Arial"/>
      <family val="2"/>
    </font>
    <font>
      <sz val="11"/>
      <name val="Arial"/>
      <family val="2"/>
    </font>
    <font>
      <u/>
      <sz val="11"/>
      <color theme="10"/>
      <name val="Calibri Light"/>
      <family val="2"/>
      <scheme val="minor"/>
    </font>
    <font>
      <sz val="9"/>
      <color indexed="81"/>
      <name val="Tahoma"/>
      <family val="2"/>
    </font>
    <font>
      <b/>
      <sz val="9"/>
      <color indexed="81"/>
      <name val="Tahoma"/>
      <family val="2"/>
    </font>
    <font>
      <b/>
      <sz val="13"/>
      <color indexed="59"/>
      <name val="Calibri"/>
      <family val="2"/>
      <scheme val="major"/>
    </font>
    <font>
      <b/>
      <sz val="12"/>
      <color indexed="59"/>
      <name val="Calibri"/>
      <family val="2"/>
      <scheme val="major"/>
    </font>
    <font>
      <u/>
      <sz val="11"/>
      <color theme="11"/>
      <name val="Calibri Light"/>
      <family val="2"/>
      <scheme val="minor"/>
    </font>
    <font>
      <b/>
      <sz val="13"/>
      <color indexed="8"/>
      <name val="Calibri"/>
      <family val="2"/>
      <scheme val="major"/>
    </font>
    <font>
      <sz val="11"/>
      <color theme="1"/>
      <name val="Calibri Light"/>
      <family val="2"/>
      <scheme val="minor"/>
    </font>
    <font>
      <sz val="11"/>
      <color theme="1"/>
      <name val="Arial"/>
      <family val="2"/>
    </font>
    <font>
      <b/>
      <sz val="11"/>
      <color rgb="FF3F3F3F"/>
      <name val="Calibri Light"/>
      <family val="2"/>
      <scheme val="minor"/>
    </font>
    <font>
      <sz val="11"/>
      <color theme="4" tint="-0.24994659260841701"/>
      <name val="Verdana"/>
      <family val="2"/>
    </font>
    <font>
      <b/>
      <sz val="12"/>
      <color theme="1"/>
      <name val="Calibri Light"/>
      <family val="2"/>
      <scheme val="minor"/>
    </font>
    <font>
      <sz val="11"/>
      <color theme="1"/>
      <name val="Century Schoolbook"/>
      <family val="1"/>
    </font>
    <font>
      <b/>
      <sz val="11"/>
      <name val="Century Schoolbook"/>
      <family val="1"/>
    </font>
    <font>
      <b/>
      <sz val="11"/>
      <color theme="1"/>
      <name val="Century Schoolbook"/>
      <family val="1"/>
    </font>
    <font>
      <b/>
      <sz val="10"/>
      <name val="Century Schoolbook"/>
      <family val="1"/>
    </font>
    <font>
      <sz val="10"/>
      <name val="Century Schoolbook"/>
      <family val="1"/>
    </font>
    <font>
      <b/>
      <sz val="11"/>
      <color theme="0"/>
      <name val="Arial"/>
      <family val="2"/>
    </font>
    <font>
      <b/>
      <u/>
      <sz val="10"/>
      <color rgb="FFC00000"/>
      <name val="Tahoma"/>
      <family val="2"/>
    </font>
    <font>
      <i/>
      <sz val="11"/>
      <color theme="1"/>
      <name val="Calibri"/>
      <family val="2"/>
    </font>
    <font>
      <sz val="18"/>
      <color theme="6" tint="-0.499984740745262"/>
      <name val="Arial"/>
      <family val="2"/>
    </font>
    <font>
      <u/>
      <sz val="11"/>
      <color theme="11"/>
      <name val="Arial"/>
      <family val="2"/>
    </font>
    <font>
      <b/>
      <i/>
      <sz val="11"/>
      <color theme="6" tint="-0.499984740745262"/>
      <name val="Calibri"/>
      <family val="2"/>
    </font>
    <font>
      <b/>
      <sz val="26"/>
      <color rgb="FF800080"/>
      <name val="Arial"/>
      <family val="2"/>
    </font>
    <font>
      <sz val="10"/>
      <name val="Tahoma"/>
      <family val="2"/>
    </font>
    <font>
      <b/>
      <sz val="10"/>
      <name val="Calibri"/>
      <family val="2"/>
      <scheme val="major"/>
    </font>
    <font>
      <b/>
      <sz val="9"/>
      <name val="Calibri"/>
      <family val="2"/>
      <scheme val="major"/>
    </font>
    <font>
      <b/>
      <sz val="8"/>
      <name val="Calibri"/>
      <family val="2"/>
      <scheme val="major"/>
    </font>
    <font>
      <sz val="8"/>
      <name val="Calibri"/>
      <family val="2"/>
      <scheme val="major"/>
    </font>
    <font>
      <sz val="8"/>
      <name val="Calibri Light"/>
      <family val="2"/>
      <scheme val="minor"/>
    </font>
    <font>
      <b/>
      <sz val="8"/>
      <name val="Calibri Light"/>
      <family val="2"/>
      <scheme val="minor"/>
    </font>
    <font>
      <b/>
      <u/>
      <sz val="8"/>
      <color indexed="56"/>
      <name val="Calibri Light"/>
      <family val="2"/>
      <scheme val="minor"/>
    </font>
    <font>
      <b/>
      <sz val="10"/>
      <color indexed="56"/>
      <name val="Wingdings"/>
      <charset val="2"/>
    </font>
    <font>
      <b/>
      <u/>
      <sz val="10"/>
      <color indexed="56"/>
      <name val="Calibri Light"/>
      <family val="2"/>
      <scheme val="minor"/>
    </font>
    <font>
      <b/>
      <u/>
      <sz val="9"/>
      <color indexed="56"/>
      <name val="Calibri Light"/>
      <family val="2"/>
      <scheme val="minor"/>
    </font>
    <font>
      <sz val="8"/>
      <color indexed="56"/>
      <name val="Calibri Light"/>
      <family val="2"/>
      <scheme val="minor"/>
    </font>
    <font>
      <b/>
      <i/>
      <sz val="11"/>
      <name val="Century Schoolbook"/>
      <family val="1"/>
    </font>
    <font>
      <b/>
      <i/>
      <sz val="11"/>
      <color theme="1"/>
      <name val="Century Schoolbook"/>
      <family val="1"/>
    </font>
    <font>
      <b/>
      <i/>
      <sz val="10"/>
      <name val="Century Schoolbook"/>
      <family val="1"/>
    </font>
    <font>
      <i/>
      <sz val="11"/>
      <color theme="4"/>
      <name val="Arial"/>
      <family val="2"/>
    </font>
    <font>
      <i/>
      <sz val="11"/>
      <color rgb="FFFF0000"/>
      <name val="Arial"/>
      <family val="2"/>
    </font>
    <font>
      <b/>
      <i/>
      <sz val="10"/>
      <color theme="1"/>
      <name val="Century Schoolbook"/>
      <family val="1"/>
    </font>
    <font>
      <sz val="11"/>
      <name val="Century Schoolbook"/>
      <family val="1"/>
    </font>
    <font>
      <b/>
      <sz val="16"/>
      <color theme="3"/>
      <name val="Century Schoolbook"/>
      <family val="1"/>
    </font>
    <font>
      <b/>
      <sz val="16"/>
      <color rgb="FF800080"/>
      <name val="Arial"/>
      <family val="2"/>
    </font>
    <font>
      <b/>
      <sz val="12"/>
      <color theme="1"/>
      <name val="Arial"/>
      <family val="2"/>
    </font>
    <font>
      <sz val="12"/>
      <name val="Calibri"/>
      <family val="2"/>
    </font>
    <font>
      <sz val="26"/>
      <color rgb="FF83803E"/>
      <name val="Arial"/>
      <family val="2"/>
    </font>
    <font>
      <b/>
      <sz val="15"/>
      <color theme="3"/>
      <name val="Calibri Light"/>
      <family val="2"/>
      <scheme val="minor"/>
    </font>
    <font>
      <b/>
      <sz val="12"/>
      <name val="Trebuchet MS"/>
      <family val="2"/>
    </font>
    <font>
      <sz val="12"/>
      <color theme="1"/>
      <name val="Calibri Light"/>
      <family val="2"/>
      <scheme val="minor"/>
    </font>
    <font>
      <b/>
      <sz val="10"/>
      <color theme="3"/>
      <name val="Trebuchet MS"/>
      <family val="2"/>
    </font>
    <font>
      <b/>
      <sz val="12"/>
      <name val="Calibri"/>
      <family val="2"/>
    </font>
    <font>
      <sz val="11"/>
      <color theme="4" tint="-0.24994659260841701"/>
      <name val="Trebuchet MS"/>
      <family val="2"/>
    </font>
    <font>
      <b/>
      <sz val="10"/>
      <color theme="0"/>
      <name val="Arial"/>
      <family val="2"/>
    </font>
    <font>
      <sz val="8"/>
      <color theme="1"/>
      <name val="Arial"/>
      <family val="2"/>
    </font>
    <font>
      <sz val="6"/>
      <name val="Arial"/>
      <family val="2"/>
    </font>
    <font>
      <b/>
      <sz val="14"/>
      <color theme="4" tint="-0.24994659260841701"/>
      <name val="Calibri Light"/>
      <family val="2"/>
      <scheme val="minor"/>
    </font>
    <font>
      <b/>
      <sz val="12"/>
      <name val="Calibri Light"/>
      <family val="2"/>
      <scheme val="minor"/>
    </font>
    <font>
      <u/>
      <sz val="10"/>
      <color theme="10"/>
      <name val="Arial"/>
      <family val="2"/>
    </font>
    <font>
      <b/>
      <u/>
      <sz val="11"/>
      <color indexed="12"/>
      <name val="Calibri"/>
      <family val="2"/>
    </font>
    <font>
      <u/>
      <sz val="10"/>
      <color indexed="12"/>
      <name val="Arial"/>
      <family val="2"/>
    </font>
    <font>
      <u/>
      <sz val="10"/>
      <color indexed="12"/>
      <name val="Arial"/>
      <family val="2"/>
      <charset val="204"/>
    </font>
    <font>
      <sz val="10"/>
      <color indexed="9"/>
      <name val="Arial"/>
      <family val="2"/>
    </font>
    <font>
      <b/>
      <sz val="16"/>
      <color indexed="9"/>
      <name val="Arial"/>
      <family val="2"/>
    </font>
    <font>
      <b/>
      <sz val="12"/>
      <color rgb="FFFFFFFF"/>
      <name val="Calibri"/>
      <family val="2"/>
    </font>
    <font>
      <b/>
      <sz val="12"/>
      <color theme="3"/>
      <name val="Calibri"/>
      <family val="2"/>
    </font>
    <font>
      <sz val="12"/>
      <name val="Calibri Light"/>
      <family val="2"/>
      <scheme val="minor"/>
    </font>
    <font>
      <b/>
      <sz val="11"/>
      <color theme="1" tint="0.34998626667073579"/>
      <name val="Tahoma"/>
      <family val="2"/>
    </font>
    <font>
      <b/>
      <sz val="13"/>
      <color theme="0"/>
      <name val="Calibri"/>
      <family val="2"/>
      <scheme val="major"/>
    </font>
    <font>
      <i/>
      <sz val="11"/>
      <name val="Arial"/>
      <family val="2"/>
    </font>
    <font>
      <b/>
      <sz val="13"/>
      <color indexed="63"/>
      <name val="Calibri"/>
      <family val="2"/>
      <scheme val="major"/>
    </font>
    <font>
      <b/>
      <sz val="11"/>
      <color theme="1"/>
      <name val="Calibri Light"/>
      <family val="2"/>
      <scheme val="minor"/>
    </font>
    <font>
      <sz val="16"/>
      <name val="Arial"/>
      <family val="2"/>
    </font>
    <font>
      <b/>
      <sz val="11"/>
      <color rgb="FFFFFFFF"/>
      <name val="Calibri Light"/>
      <family val="2"/>
      <scheme val="minor"/>
    </font>
    <font>
      <b/>
      <sz val="16"/>
      <color indexed="60"/>
      <name val="Tahoma"/>
      <family val="2"/>
    </font>
    <font>
      <b/>
      <sz val="16"/>
      <color theme="1"/>
      <name val="Calibri"/>
      <family val="2"/>
      <scheme val="major"/>
    </font>
    <font>
      <sz val="16"/>
      <color rgb="FF7030A0"/>
      <name val="Impact"/>
      <family val="2"/>
    </font>
    <font>
      <i/>
      <sz val="72"/>
      <color rgb="FF7030A0"/>
      <name val="Impact"/>
      <family val="2"/>
    </font>
    <font>
      <b/>
      <sz val="26"/>
      <color rgb="FF7030A0"/>
      <name val="Arial"/>
      <family val="2"/>
    </font>
    <font>
      <b/>
      <sz val="16"/>
      <color rgb="FF7030A0"/>
      <name val="Arial"/>
      <family val="2"/>
    </font>
    <font>
      <b/>
      <sz val="11"/>
      <color rgb="FF7030A0"/>
      <name val="Calibri Light"/>
      <family val="2"/>
      <scheme val="minor"/>
    </font>
    <font>
      <b/>
      <sz val="11"/>
      <color rgb="FF7030A0"/>
      <name val="Calibri Light"/>
      <family val="2"/>
    </font>
    <font>
      <i/>
      <sz val="11"/>
      <color rgb="FF7030A0"/>
      <name val="Calibri Light"/>
      <family val="2"/>
      <scheme val="minor"/>
    </font>
    <font>
      <b/>
      <i/>
      <sz val="11"/>
      <color rgb="FF7030A0"/>
      <name val="Calibri Light"/>
      <family val="2"/>
      <scheme val="minor"/>
    </font>
    <font>
      <b/>
      <sz val="12"/>
      <color rgb="FF7030A0"/>
      <name val="Calibri"/>
      <family val="2"/>
      <scheme val="major"/>
    </font>
    <font>
      <i/>
      <sz val="11"/>
      <color theme="0"/>
      <name val="Calibri Light"/>
      <family val="2"/>
      <scheme val="minor"/>
    </font>
    <font>
      <u/>
      <sz val="10"/>
      <color theme="10"/>
      <name val="Calibri Light"/>
      <family val="2"/>
      <scheme val="minor"/>
    </font>
    <font>
      <b/>
      <sz val="14"/>
      <color rgb="FF7030A0"/>
      <name val="Calibri"/>
      <family val="2"/>
      <scheme val="major"/>
    </font>
    <font>
      <b/>
      <sz val="12"/>
      <color rgb="FF7030A0"/>
      <name val="Arial"/>
      <family val="2"/>
    </font>
    <font>
      <i/>
      <sz val="11"/>
      <name val="Calibri Light"/>
      <family val="2"/>
      <scheme val="minor"/>
    </font>
    <font>
      <sz val="11"/>
      <color rgb="FF7030A0"/>
      <name val="Calibri Light"/>
      <family val="2"/>
      <scheme val="minor"/>
    </font>
    <font>
      <b/>
      <sz val="13"/>
      <color rgb="FF7030A0"/>
      <name val="Calibri"/>
      <family val="2"/>
      <scheme val="major"/>
    </font>
    <font>
      <sz val="16"/>
      <color theme="0"/>
      <name val="Arial"/>
      <family val="2"/>
    </font>
    <font>
      <b/>
      <i/>
      <sz val="11"/>
      <name val="Calibri Light"/>
      <family val="2"/>
      <scheme val="minor"/>
    </font>
    <font>
      <b/>
      <sz val="10"/>
      <color rgb="FF7030A0"/>
      <name val="Calibri Light"/>
      <family val="2"/>
      <scheme val="minor"/>
    </font>
    <font>
      <b/>
      <sz val="11"/>
      <color theme="9"/>
      <name val="Script"/>
      <family val="4"/>
      <charset val="255"/>
    </font>
    <font>
      <b/>
      <sz val="11"/>
      <color theme="5" tint="-0.249977111117893"/>
      <name val="Script"/>
      <family val="4"/>
      <charset val="255"/>
    </font>
    <font>
      <b/>
      <sz val="11"/>
      <color theme="4"/>
      <name val="Script"/>
      <family val="4"/>
      <charset val="255"/>
    </font>
    <font>
      <b/>
      <sz val="11"/>
      <color theme="0" tint="-0.34998626667073579"/>
      <name val="Script"/>
      <family val="4"/>
      <charset val="255"/>
    </font>
    <font>
      <b/>
      <sz val="11"/>
      <color rgb="FFFF0000"/>
      <name val="Script"/>
      <family val="4"/>
      <charset val="255"/>
    </font>
    <font>
      <b/>
      <sz val="11"/>
      <color rgb="FF92D050"/>
      <name val="Script"/>
      <family val="4"/>
      <charset val="255"/>
    </font>
    <font>
      <b/>
      <sz val="11"/>
      <color rgb="FF7030A0"/>
      <name val="Script"/>
      <family val="4"/>
      <charset val="255"/>
    </font>
    <font>
      <b/>
      <sz val="11"/>
      <color rgb="FFCC99FF"/>
      <name val="Script"/>
      <family val="4"/>
      <charset val="255"/>
    </font>
    <font>
      <b/>
      <sz val="11"/>
      <color rgb="FFC00000"/>
      <name val="Calibri Light"/>
      <family val="2"/>
      <scheme val="minor"/>
    </font>
    <font>
      <sz val="12"/>
      <color rgb="FF000000"/>
      <name val="Calibri"/>
      <family val="2"/>
    </font>
    <font>
      <sz val="11"/>
      <name val="Calibri"/>
      <family val="2"/>
    </font>
  </fonts>
  <fills count="32">
    <fill>
      <patternFill patternType="none"/>
    </fill>
    <fill>
      <patternFill patternType="gray125"/>
    </fill>
    <fill>
      <patternFill patternType="solid">
        <fgColor indexed="18"/>
        <bgColor indexed="64"/>
      </patternFill>
    </fill>
    <fill>
      <patternFill patternType="solid">
        <fgColor rgb="FFFF0000"/>
        <bgColor indexed="64"/>
      </patternFill>
    </fill>
    <fill>
      <patternFill patternType="solid">
        <fgColor rgb="FFFFFFFF"/>
        <bgColor indexed="64"/>
      </patternFill>
    </fill>
    <fill>
      <patternFill patternType="solid">
        <fgColor indexed="59"/>
        <bgColor indexed="64"/>
      </patternFill>
    </fill>
    <fill>
      <patternFill patternType="solid">
        <fgColor rgb="FFF2F2F2"/>
      </patternFill>
    </fill>
    <fill>
      <patternFill patternType="solid">
        <fgColor theme="0"/>
        <bgColor indexed="64"/>
      </patternFill>
    </fill>
    <fill>
      <patternFill patternType="solid">
        <fgColor theme="2"/>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rgb="FFFFFF99"/>
        <bgColor indexed="64"/>
      </patternFill>
    </fill>
    <fill>
      <patternFill patternType="solid">
        <fgColor rgb="FFB1FCA4"/>
        <bgColor indexed="64"/>
      </patternFill>
    </fill>
    <fill>
      <patternFill patternType="solid">
        <fgColor theme="6" tint="0.79998168889431442"/>
        <bgColor indexed="64"/>
      </patternFill>
    </fill>
    <fill>
      <patternFill patternType="gray0625">
        <bgColor theme="6" tint="0.79998168889431442"/>
      </patternFill>
    </fill>
    <fill>
      <patternFill patternType="gray0625">
        <fgColor auto="1"/>
        <bgColor theme="6" tint="0.79998168889431442"/>
      </patternFill>
    </fill>
    <fill>
      <patternFill patternType="solid">
        <fgColor rgb="FFFF99CC"/>
        <bgColor indexed="64"/>
      </patternFill>
    </fill>
    <fill>
      <patternFill patternType="solid">
        <fgColor rgb="FF9900CC"/>
        <bgColor theme="4"/>
      </patternFill>
    </fill>
    <fill>
      <patternFill patternType="solid">
        <fgColor indexed="62"/>
        <bgColor indexed="64"/>
      </patternFill>
    </fill>
    <fill>
      <patternFill patternType="solid">
        <fgColor theme="4"/>
        <bgColor indexed="64"/>
      </patternFill>
    </fill>
    <fill>
      <patternFill patternType="solid">
        <fgColor theme="4" tint="0.79995117038483843"/>
        <bgColor indexed="64"/>
      </patternFill>
    </fill>
    <fill>
      <patternFill patternType="solid">
        <fgColor theme="0" tint="-0.34998626667073579"/>
        <bgColor rgb="FFDFDFE0"/>
      </patternFill>
    </fill>
    <fill>
      <patternFill patternType="gray125">
        <bgColor indexed="9"/>
      </patternFill>
    </fill>
    <fill>
      <patternFill patternType="solid">
        <fgColor indexed="54"/>
        <bgColor indexed="64"/>
      </patternFill>
    </fill>
    <fill>
      <patternFill patternType="solid">
        <fgColor rgb="FF4F81BD"/>
        <bgColor rgb="FF4F81BD"/>
      </patternFill>
    </fill>
    <fill>
      <patternFill patternType="solid">
        <fgColor indexed="6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D4FEDC"/>
        <bgColor indexed="64"/>
      </patternFill>
    </fill>
    <fill>
      <patternFill patternType="solid">
        <fgColor theme="9" tint="0.79998168889431442"/>
        <bgColor indexed="64"/>
      </patternFill>
    </fill>
    <fill>
      <patternFill patternType="solid">
        <fgColor rgb="FFFFCCFF"/>
        <bgColor indexed="64"/>
      </patternFill>
    </fill>
    <fill>
      <patternFill patternType="solid">
        <fgColor rgb="FF7030A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style="dashed">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0"/>
      </bottom>
      <diagonal/>
    </border>
    <border>
      <left/>
      <right/>
      <top style="thin">
        <color indexed="60"/>
      </top>
      <bottom/>
      <diagonal/>
    </border>
    <border>
      <left style="medium">
        <color indexed="64"/>
      </left>
      <right/>
      <top style="medium">
        <color indexed="64"/>
      </top>
      <bottom style="medium">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double">
        <color theme="4"/>
      </left>
      <right style="double">
        <color theme="4"/>
      </right>
      <top style="double">
        <color theme="4"/>
      </top>
      <bottom style="double">
        <color theme="4"/>
      </bottom>
      <diagonal/>
    </border>
    <border>
      <left style="mediumDashed">
        <color theme="3"/>
      </left>
      <right style="mediumDashed">
        <color theme="3"/>
      </right>
      <top style="mediumDashed">
        <color theme="3"/>
      </top>
      <bottom style="mediumDashed">
        <color theme="3"/>
      </bottom>
      <diagonal/>
    </border>
    <border>
      <left style="double">
        <color theme="3"/>
      </left>
      <right style="double">
        <color theme="3"/>
      </right>
      <top style="double">
        <color theme="3"/>
      </top>
      <bottom style="double">
        <color theme="3"/>
      </bottom>
      <diagonal/>
    </border>
    <border>
      <left style="double">
        <color theme="3" tint="0.39994506668294322"/>
      </left>
      <right style="double">
        <color theme="3" tint="0.39994506668294322"/>
      </right>
      <top style="double">
        <color theme="3" tint="0.39994506668294322"/>
      </top>
      <bottom style="double">
        <color theme="3" tint="0.39994506668294322"/>
      </bottom>
      <diagonal/>
    </border>
    <border>
      <left style="hair">
        <color auto="1"/>
      </left>
      <right style="hair">
        <color auto="1"/>
      </right>
      <top style="hair">
        <color auto="1"/>
      </top>
      <bottom style="hair">
        <color auto="1"/>
      </bottom>
      <diagonal/>
    </border>
    <border>
      <left style="hair">
        <color rgb="FF7F7F7F"/>
      </left>
      <right style="hair">
        <color rgb="FF7F7F7F"/>
      </right>
      <top style="hair">
        <color rgb="FF7F7F7F"/>
      </top>
      <bottom style="hair">
        <color rgb="FF7F7F7F"/>
      </bottom>
      <diagonal/>
    </border>
    <border>
      <left style="thin">
        <color theme="3"/>
      </left>
      <right style="thin">
        <color theme="3"/>
      </right>
      <top style="thin">
        <color theme="3"/>
      </top>
      <bottom style="thin">
        <color theme="3"/>
      </bottom>
      <diagonal/>
    </border>
    <border>
      <left style="double">
        <color auto="1"/>
      </left>
      <right style="double">
        <color auto="1"/>
      </right>
      <top style="double">
        <color auto="1"/>
      </top>
      <bottom style="double">
        <color auto="1"/>
      </bottom>
      <diagonal/>
    </border>
    <border>
      <left style="dashed">
        <color theme="3"/>
      </left>
      <right style="dashed">
        <color theme="3"/>
      </right>
      <top style="dashed">
        <color theme="3"/>
      </top>
      <bottom style="dashed">
        <color theme="3"/>
      </bottom>
      <diagonal/>
    </border>
    <border>
      <left style="dashed">
        <color theme="4"/>
      </left>
      <right style="dashed">
        <color theme="4"/>
      </right>
      <top style="dashed">
        <color theme="4"/>
      </top>
      <bottom style="dashed">
        <color theme="4"/>
      </bottom>
      <diagonal/>
    </border>
    <border>
      <left style="dotted">
        <color theme="4"/>
      </left>
      <right style="dotted">
        <color theme="4"/>
      </right>
      <top style="dotted">
        <color theme="4"/>
      </top>
      <bottom style="dotted">
        <color theme="4"/>
      </bottom>
      <diagonal/>
    </border>
    <border>
      <left style="thin">
        <color indexed="18"/>
      </left>
      <right style="thin">
        <color indexed="18"/>
      </right>
      <top style="thin">
        <color indexed="18"/>
      </top>
      <bottom style="thin">
        <color indexed="18"/>
      </bottom>
      <diagonal/>
    </border>
    <border>
      <left style="dashDotDot">
        <color theme="3"/>
      </left>
      <right style="dashDotDot">
        <color theme="3"/>
      </right>
      <top style="dashDotDot">
        <color theme="3"/>
      </top>
      <bottom style="dashDotDot">
        <color theme="3"/>
      </bottom>
      <diagonal/>
    </border>
    <border>
      <left style="thick">
        <color rgb="FFFF0000"/>
      </left>
      <right style="thick">
        <color rgb="FFFF0000"/>
      </right>
      <top style="thick">
        <color rgb="FFFF0000"/>
      </top>
      <bottom style="thick">
        <color rgb="FFFF0000"/>
      </bottom>
      <diagonal/>
    </border>
    <border>
      <left style="dashDotDot">
        <color theme="4"/>
      </left>
      <right style="dashDotDot">
        <color theme="4"/>
      </right>
      <top style="dashDotDot">
        <color theme="4"/>
      </top>
      <bottom style="dashDotDot">
        <color theme="4"/>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ck">
        <color indexed="64"/>
      </top>
      <bottom/>
      <diagonal/>
    </border>
    <border>
      <left style="thin">
        <color indexed="64"/>
      </left>
      <right style="thin">
        <color indexed="64"/>
      </right>
      <top style="thin">
        <color indexed="64"/>
      </top>
      <bottom/>
      <diagonal/>
    </border>
    <border>
      <left style="double">
        <color indexed="60"/>
      </left>
      <right style="double">
        <color indexed="60"/>
      </right>
      <top style="double">
        <color indexed="60"/>
      </top>
      <bottom style="double">
        <color indexed="6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60"/>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8"/>
      </top>
      <bottom style="thin">
        <color indexed="60"/>
      </bottom>
      <diagonal/>
    </border>
    <border>
      <left style="thin">
        <color indexed="8"/>
      </left>
      <right style="thin">
        <color indexed="8"/>
      </right>
      <top/>
      <bottom/>
      <diagonal/>
    </border>
    <border>
      <left/>
      <right/>
      <top style="thin">
        <color indexed="64"/>
      </top>
      <bottom style="thin">
        <color indexed="8"/>
      </bottom>
      <diagonal/>
    </border>
    <border>
      <left style="thin">
        <color indexed="8"/>
      </left>
      <right style="thin">
        <color indexed="64"/>
      </right>
      <top/>
      <bottom/>
      <diagonal/>
    </border>
    <border>
      <left style="thin">
        <color indexed="8"/>
      </left>
      <right style="thin">
        <color indexed="64"/>
      </right>
      <top style="thin">
        <color indexed="8"/>
      </top>
      <bottom style="thin">
        <color indexed="8"/>
      </bottom>
      <diagonal/>
    </border>
    <border>
      <left/>
      <right/>
      <top style="thin">
        <color indexed="8"/>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ck">
        <color rgb="FF7030A0"/>
      </top>
      <bottom/>
      <diagonal/>
    </border>
    <border>
      <left style="thick">
        <color rgb="FF7030A0"/>
      </left>
      <right style="thick">
        <color rgb="FF7030A0"/>
      </right>
      <top style="thick">
        <color rgb="FF7030A0"/>
      </top>
      <bottom style="thin">
        <color rgb="FF7030A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867">
    <xf numFmtId="0" fontId="0" fillId="0" borderId="0" applyFill="0" applyBorder="0">
      <alignment vertical="center"/>
    </xf>
    <xf numFmtId="0" fontId="3" fillId="0" borderId="0" applyFill="0" applyBorder="0">
      <alignment vertical="center"/>
    </xf>
    <xf numFmtId="0" fontId="4" fillId="0" borderId="0" applyFill="0" applyBorder="0">
      <alignment vertical="center"/>
    </xf>
    <xf numFmtId="0" fontId="5" fillId="0" borderId="0" applyFill="0" applyBorder="0">
      <alignment vertical="center"/>
    </xf>
    <xf numFmtId="0" fontId="6" fillId="0" borderId="0" applyFill="0" applyBorder="0">
      <alignment vertical="center"/>
    </xf>
    <xf numFmtId="0" fontId="7" fillId="0" borderId="0" applyFill="0" applyBorder="0">
      <alignment vertical="center"/>
    </xf>
    <xf numFmtId="0" fontId="8" fillId="0" borderId="0" applyFill="0" applyBorder="0">
      <alignment vertical="center"/>
    </xf>
    <xf numFmtId="0" fontId="9" fillId="0" borderId="0" applyFill="0" applyBorder="0">
      <alignment vertical="center"/>
    </xf>
    <xf numFmtId="0" fontId="9" fillId="0" borderId="0" applyFill="0" applyBorder="0">
      <alignment vertical="center"/>
      <protection locked="0"/>
    </xf>
    <xf numFmtId="0" fontId="10" fillId="2" borderId="40">
      <alignment vertical="center"/>
      <protection locked="0"/>
    </xf>
    <xf numFmtId="164" fontId="10" fillId="2" borderId="40">
      <alignment vertical="center"/>
      <protection locked="0"/>
    </xf>
    <xf numFmtId="165" fontId="10" fillId="2" borderId="40">
      <alignment vertical="center"/>
      <protection locked="0"/>
    </xf>
    <xf numFmtId="166" fontId="10" fillId="2" borderId="40">
      <alignment vertical="center"/>
      <protection locked="0"/>
    </xf>
    <xf numFmtId="167" fontId="10" fillId="2" borderId="40">
      <alignment vertical="center"/>
      <protection locked="0"/>
    </xf>
    <xf numFmtId="168" fontId="10" fillId="2" borderId="40">
      <alignment vertical="center"/>
      <protection locked="0"/>
    </xf>
    <xf numFmtId="169" fontId="10" fillId="2" borderId="40">
      <alignment vertical="center"/>
      <protection locked="0"/>
    </xf>
    <xf numFmtId="0" fontId="2" fillId="0" borderId="0" applyNumberFormat="0" applyFont="0" applyFill="0" applyBorder="0">
      <alignment horizontal="center" vertical="center"/>
      <protection locked="0"/>
    </xf>
    <xf numFmtId="164" fontId="10" fillId="0" borderId="0" applyFill="0" applyBorder="0">
      <alignment vertical="center"/>
    </xf>
    <xf numFmtId="165" fontId="10" fillId="0" borderId="0" applyFill="0" applyBorder="0">
      <alignment vertical="center"/>
    </xf>
    <xf numFmtId="166" fontId="10" fillId="0" borderId="0" applyFill="0" applyBorder="0">
      <alignment vertical="center"/>
    </xf>
    <xf numFmtId="167" fontId="10" fillId="0" borderId="0" applyFill="0" applyBorder="0">
      <alignment vertical="center"/>
    </xf>
    <xf numFmtId="168" fontId="10" fillId="0" borderId="0" applyFill="0" applyBorder="0">
      <alignment vertical="center"/>
    </xf>
    <xf numFmtId="169" fontId="10" fillId="0" borderId="0" applyFill="0" applyBorder="0">
      <alignment vertical="center"/>
    </xf>
    <xf numFmtId="0" fontId="11" fillId="0" borderId="0" applyFill="0" applyBorder="0">
      <alignment vertical="center"/>
    </xf>
    <xf numFmtId="0" fontId="11" fillId="0" borderId="1" applyFill="0">
      <alignment horizontal="center" vertical="center"/>
    </xf>
    <xf numFmtId="170" fontId="10" fillId="0" borderId="1" applyFill="0">
      <alignment horizontal="center" vertical="center"/>
    </xf>
    <xf numFmtId="0" fontId="10" fillId="0" borderId="1" applyFill="0">
      <alignment horizontal="center" vertical="center"/>
    </xf>
    <xf numFmtId="0" fontId="12" fillId="0" borderId="0" applyFill="0" applyBorder="0">
      <alignment vertical="center"/>
    </xf>
    <xf numFmtId="0" fontId="13" fillId="0" borderId="0" applyFill="0" applyBorder="0">
      <alignment horizontal="center" vertical="center"/>
    </xf>
    <xf numFmtId="0" fontId="13" fillId="0" borderId="0" applyFill="0" applyBorder="0">
      <alignment horizontal="center" vertical="center"/>
    </xf>
    <xf numFmtId="0" fontId="14" fillId="0" borderId="0" applyFill="0" applyBorder="0">
      <alignment vertical="center"/>
    </xf>
    <xf numFmtId="0" fontId="15" fillId="0" borderId="0" applyFill="0" applyBorder="0">
      <alignment vertical="center"/>
    </xf>
    <xf numFmtId="0" fontId="16" fillId="0" borderId="0" applyFill="0" applyBorder="0">
      <alignment vertical="center"/>
    </xf>
    <xf numFmtId="0" fontId="16" fillId="0" borderId="0" applyFill="0" applyBorder="0">
      <alignment vertical="center"/>
    </xf>
    <xf numFmtId="0" fontId="3" fillId="0" borderId="0" applyFill="0" applyBorder="0">
      <alignment vertical="center"/>
    </xf>
    <xf numFmtId="0" fontId="4" fillId="0" borderId="0" applyFill="0" applyBorder="0">
      <alignment vertical="center"/>
    </xf>
    <xf numFmtId="0" fontId="5" fillId="0" borderId="0" applyFill="0" applyBorder="0">
      <alignment vertical="center"/>
    </xf>
    <xf numFmtId="0" fontId="6" fillId="0" borderId="0" applyFill="0" applyBorder="0">
      <alignment vertical="center"/>
    </xf>
    <xf numFmtId="0" fontId="7" fillId="0" borderId="0" applyFill="0" applyBorder="0">
      <alignment vertical="center"/>
    </xf>
    <xf numFmtId="0" fontId="8" fillId="0" borderId="0" applyFill="0" applyBorder="0">
      <alignment vertical="center"/>
    </xf>
    <xf numFmtId="0" fontId="9" fillId="0" borderId="0" applyFill="0" applyBorder="0">
      <alignment vertical="center"/>
    </xf>
    <xf numFmtId="0" fontId="9" fillId="0" borderId="0" applyFill="0" applyBorder="0">
      <alignment vertical="center"/>
      <protection locked="0"/>
    </xf>
    <xf numFmtId="166" fontId="10" fillId="0" borderId="0" applyFill="0" applyBorder="0">
      <alignment vertical="center"/>
    </xf>
    <xf numFmtId="167" fontId="10" fillId="0" borderId="0" applyFill="0" applyBorder="0">
      <alignment vertical="center"/>
    </xf>
    <xf numFmtId="168" fontId="10" fillId="0" borderId="0" applyFill="0" applyBorder="0">
      <alignment vertical="center"/>
    </xf>
    <xf numFmtId="169" fontId="10" fillId="0" borderId="0" applyFill="0" applyBorder="0">
      <alignment vertical="center"/>
    </xf>
    <xf numFmtId="164" fontId="10" fillId="0" borderId="0" applyFill="0" applyBorder="0">
      <alignment vertical="center"/>
    </xf>
    <xf numFmtId="165" fontId="10" fillId="0" borderId="0" applyFill="0" applyBorder="0">
      <alignment vertical="center"/>
    </xf>
    <xf numFmtId="0" fontId="11" fillId="0" borderId="0" applyFill="0" applyBorder="0">
      <alignment vertical="center"/>
    </xf>
    <xf numFmtId="0" fontId="12" fillId="0" borderId="0" applyFill="0" applyBorder="0">
      <alignment vertical="center"/>
    </xf>
    <xf numFmtId="0" fontId="13" fillId="0" borderId="0" applyFill="0" applyBorder="0">
      <alignment horizontal="center" vertical="center"/>
    </xf>
    <xf numFmtId="0" fontId="13" fillId="0" borderId="0" applyFill="0" applyBorder="0">
      <alignment horizontal="center" vertical="center"/>
    </xf>
    <xf numFmtId="0" fontId="14" fillId="0" borderId="0" applyFill="0" applyBorder="0">
      <alignment vertical="center"/>
    </xf>
    <xf numFmtId="0" fontId="15" fillId="0" borderId="0" applyFill="0" applyBorder="0">
      <alignment vertical="center"/>
    </xf>
    <xf numFmtId="0" fontId="16" fillId="0" borderId="0" applyFill="0" applyBorder="0">
      <alignment vertical="center"/>
    </xf>
    <xf numFmtId="0" fontId="16" fillId="0" borderId="0" applyFill="0" applyBorder="0">
      <alignment vertical="center"/>
    </xf>
    <xf numFmtId="0" fontId="10" fillId="0" borderId="0" applyFill="0" applyBorder="0">
      <alignment vertical="center"/>
    </xf>
    <xf numFmtId="0" fontId="42" fillId="0" borderId="0" applyNumberFormat="0" applyFill="0" applyBorder="0" applyAlignment="0" applyProtection="0">
      <alignment vertical="center"/>
    </xf>
    <xf numFmtId="0" fontId="41" fillId="0" borderId="0" applyFill="0" applyBorder="0">
      <alignment vertical="center"/>
    </xf>
    <xf numFmtId="49" fontId="60" fillId="0" borderId="0">
      <alignment vertical="top" readingOrder="1"/>
    </xf>
    <xf numFmtId="43" fontId="49" fillId="0" borderId="0" applyFont="0" applyFill="0" applyBorder="0" applyAlignment="0" applyProtection="0"/>
    <xf numFmtId="0" fontId="52" fillId="0" borderId="16"/>
    <xf numFmtId="43" fontId="49" fillId="0" borderId="0" applyFont="0" applyFill="0" applyBorder="0" applyAlignment="0" applyProtection="0"/>
    <xf numFmtId="0" fontId="51" fillId="6" borderId="14" applyNumberFormat="0" applyAlignment="0"/>
    <xf numFmtId="0" fontId="86" fillId="0" borderId="0"/>
    <xf numFmtId="0" fontId="85" fillId="0" borderId="0" applyFill="0"/>
    <xf numFmtId="0" fontId="81" fillId="11" borderId="21" applyProtection="0"/>
    <xf numFmtId="42" fontId="82" fillId="11" borderId="25">
      <alignment horizontal="left"/>
      <protection locked="0"/>
    </xf>
    <xf numFmtId="3" fontId="55" fillId="14" borderId="18"/>
    <xf numFmtId="3" fontId="58" fillId="13" borderId="16"/>
    <xf numFmtId="181" fontId="55" fillId="14" borderId="15"/>
    <xf numFmtId="3" fontId="81" fillId="11" borderId="24">
      <protection locked="0"/>
    </xf>
    <xf numFmtId="9" fontId="81" fillId="11" borderId="25">
      <protection locked="0"/>
    </xf>
    <xf numFmtId="182" fontId="56" fillId="15" borderId="23"/>
    <xf numFmtId="42" fontId="57" fillId="13" borderId="18"/>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0" fontId="56" fillId="14" borderId="15"/>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83" fillId="8" borderId="19"/>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0" fillId="9" borderId="0"/>
    <xf numFmtId="0" fontId="62" fillId="7" borderId="0">
      <alignment horizontal="left"/>
    </xf>
    <xf numFmtId="0" fontId="65" fillId="0" borderId="0">
      <alignment horizontal="lef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7" fillId="0" borderId="0" applyNumberForma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58" fillId="0" borderId="0"/>
    <xf numFmtId="0" fontId="59" fillId="17" borderId="15">
      <alignment horizontal="center" vertical="center" wrapText="1"/>
    </xf>
    <xf numFmtId="43" fontId="49" fillId="0" borderId="0" applyFont="0" applyFill="0" applyBorder="0" applyAlignment="0" applyProtection="0"/>
    <xf numFmtId="43" fontId="3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2" fontId="56" fillId="15" borderId="32"/>
    <xf numFmtId="9" fontId="84" fillId="13" borderId="16"/>
    <xf numFmtId="1" fontId="81" fillId="11" borderId="17">
      <protection locked="0"/>
    </xf>
    <xf numFmtId="182" fontId="81" fillId="11" borderId="26">
      <protection locked="0"/>
    </xf>
    <xf numFmtId="9" fontId="49" fillId="0" borderId="0" applyFont="0" applyFill="0" applyBorder="0" applyAlignment="0" applyProtection="0"/>
    <xf numFmtId="0" fontId="87" fillId="0" borderId="0"/>
    <xf numFmtId="4" fontId="84" fillId="13" borderId="16"/>
    <xf numFmtId="182" fontId="49" fillId="0" borderId="0" applyFont="0" applyFill="0" applyBorder="0" applyAlignment="0" applyProtection="0"/>
    <xf numFmtId="182" fontId="84" fillId="13" borderId="16"/>
    <xf numFmtId="44" fontId="57" fillId="13" borderId="18"/>
    <xf numFmtId="4" fontId="81" fillId="11" borderId="24">
      <protection locked="0"/>
    </xf>
    <xf numFmtId="9" fontId="56" fillId="15" borderId="1"/>
    <xf numFmtId="0" fontId="50" fillId="12" borderId="20" applyProtection="0"/>
    <xf numFmtId="0" fontId="50" fillId="16" borderId="0"/>
    <xf numFmtId="0" fontId="61" fillId="7" borderId="0">
      <alignment horizontal="left"/>
    </xf>
    <xf numFmtId="0" fontId="1" fillId="0" borderId="0" applyProtection="0"/>
    <xf numFmtId="0" fontId="74" fillId="0" borderId="0" applyFill="0" applyBorder="0">
      <alignment horizontal="center" vertical="center"/>
    </xf>
    <xf numFmtId="0" fontId="49" fillId="0" borderId="0"/>
    <xf numFmtId="1" fontId="54" fillId="13" borderId="22">
      <protection locked="0"/>
    </xf>
    <xf numFmtId="0" fontId="64" fillId="0" borderId="0" applyFill="0" applyBorder="0">
      <alignment vertical="center"/>
    </xf>
    <xf numFmtId="0" fontId="71" fillId="18" borderId="27">
      <alignment vertical="center"/>
      <protection locked="0"/>
    </xf>
    <xf numFmtId="0" fontId="67" fillId="0" borderId="0" applyFill="0" applyBorder="0">
      <alignment vertical="center"/>
    </xf>
    <xf numFmtId="44" fontId="82" fillId="11" borderId="25">
      <alignment horizontal="left"/>
      <protection locked="0"/>
    </xf>
    <xf numFmtId="0" fontId="63" fillId="0" borderId="0" applyNumberFormat="0" applyFill="0" applyBorder="0" applyAlignment="0" applyProtection="0"/>
    <xf numFmtId="0" fontId="5" fillId="0" borderId="0" applyFill="0" applyBorder="0">
      <alignment vertical="center"/>
    </xf>
    <xf numFmtId="0" fontId="6" fillId="0" borderId="0" applyFill="0" applyBorder="0">
      <alignment vertical="center"/>
    </xf>
    <xf numFmtId="0" fontId="7" fillId="0" borderId="0" applyFill="0" applyBorder="0">
      <alignment vertical="center"/>
    </xf>
    <xf numFmtId="0" fontId="68" fillId="0" borderId="0" applyFill="0" applyBorder="0">
      <alignment vertical="center"/>
    </xf>
    <xf numFmtId="0" fontId="69" fillId="0" borderId="0" applyFill="0" applyBorder="0">
      <alignment vertical="center"/>
    </xf>
    <xf numFmtId="0" fontId="70" fillId="0" borderId="0" applyFill="0" applyBorder="0">
      <alignment vertical="center"/>
    </xf>
    <xf numFmtId="0" fontId="69" fillId="0" borderId="0" applyFill="0" applyBorder="0">
      <alignment vertical="center"/>
      <protection locked="0"/>
    </xf>
    <xf numFmtId="164" fontId="71" fillId="18" borderId="27">
      <alignment vertical="center"/>
      <protection locked="0"/>
    </xf>
    <xf numFmtId="165" fontId="71" fillId="18" borderId="27">
      <alignment vertical="center"/>
      <protection locked="0"/>
    </xf>
    <xf numFmtId="166" fontId="71" fillId="18" borderId="27">
      <alignment vertical="center"/>
      <protection locked="0"/>
    </xf>
    <xf numFmtId="167" fontId="71" fillId="18" borderId="27">
      <alignment vertical="center"/>
      <protection locked="0"/>
    </xf>
    <xf numFmtId="168" fontId="71" fillId="18" borderId="27">
      <alignment vertical="center"/>
      <protection locked="0"/>
    </xf>
    <xf numFmtId="169" fontId="71" fillId="18" borderId="27">
      <alignment vertical="center"/>
      <protection locked="0"/>
    </xf>
    <xf numFmtId="0" fontId="66" fillId="0" borderId="0" applyNumberFormat="0" applyFont="0" applyFill="0" applyBorder="0">
      <alignment horizontal="center" vertical="center"/>
      <protection locked="0"/>
    </xf>
    <xf numFmtId="164" fontId="71" fillId="0" borderId="0" applyFill="0" applyBorder="0">
      <alignment vertical="center"/>
    </xf>
    <xf numFmtId="165" fontId="71" fillId="0" borderId="0" applyFill="0" applyBorder="0">
      <alignment vertical="center"/>
    </xf>
    <xf numFmtId="166" fontId="71" fillId="0" borderId="0" applyFill="0" applyBorder="0">
      <alignment vertical="center"/>
    </xf>
    <xf numFmtId="167" fontId="71" fillId="0" borderId="0" applyFill="0" applyBorder="0">
      <alignment vertical="center"/>
    </xf>
    <xf numFmtId="168" fontId="71" fillId="0" borderId="0" applyFill="0" applyBorder="0">
      <alignment vertical="center"/>
    </xf>
    <xf numFmtId="169" fontId="71" fillId="0" borderId="0" applyFill="0" applyBorder="0">
      <alignment vertical="center"/>
    </xf>
    <xf numFmtId="0" fontId="72" fillId="0" borderId="0" applyFill="0" applyBorder="0">
      <alignment vertical="center"/>
    </xf>
    <xf numFmtId="0" fontId="72" fillId="0" borderId="1" applyFill="0">
      <alignment horizontal="center" vertical="center"/>
    </xf>
    <xf numFmtId="170" fontId="71" fillId="0" borderId="1" applyFill="0">
      <alignment horizontal="center" vertical="center"/>
    </xf>
    <xf numFmtId="0" fontId="71" fillId="0" borderId="1" applyFill="0">
      <alignment horizontal="center" vertical="center"/>
    </xf>
    <xf numFmtId="0" fontId="73" fillId="0" borderId="0" applyFill="0" applyBorder="0">
      <alignment vertical="center"/>
    </xf>
    <xf numFmtId="0" fontId="74" fillId="0" borderId="0" applyFill="0" applyBorder="0">
      <alignment horizontal="center" vertical="center"/>
    </xf>
    <xf numFmtId="0" fontId="75" fillId="0" borderId="0" applyFill="0" applyBorder="0">
      <alignment vertical="center"/>
    </xf>
    <xf numFmtId="0" fontId="76" fillId="0" borderId="0" applyFill="0" applyBorder="0">
      <alignment vertical="center"/>
    </xf>
    <xf numFmtId="0" fontId="77" fillId="0" borderId="0" applyFill="0" applyBorder="0">
      <alignment vertical="center"/>
    </xf>
    <xf numFmtId="0" fontId="77" fillId="0" borderId="0" applyFill="0" applyBorder="0">
      <alignment vertical="center"/>
    </xf>
    <xf numFmtId="0" fontId="5" fillId="0" borderId="0" applyFill="0" applyBorder="0">
      <alignment vertical="center"/>
    </xf>
    <xf numFmtId="0" fontId="6" fillId="0" borderId="0" applyFill="0" applyBorder="0">
      <alignment vertical="center"/>
    </xf>
    <xf numFmtId="0" fontId="7" fillId="0" borderId="0" applyFill="0" applyBorder="0">
      <alignment vertical="center"/>
    </xf>
    <xf numFmtId="0" fontId="67" fillId="0" borderId="0" applyFill="0" applyBorder="0">
      <alignment vertical="center"/>
    </xf>
    <xf numFmtId="0" fontId="68" fillId="0" borderId="0" applyFill="0" applyBorder="0">
      <alignment vertical="center"/>
    </xf>
    <xf numFmtId="0" fontId="69" fillId="0" borderId="0" applyFill="0" applyBorder="0">
      <alignment vertical="center"/>
    </xf>
    <xf numFmtId="0" fontId="70" fillId="0" borderId="0" applyFill="0" applyBorder="0">
      <alignment vertical="center"/>
    </xf>
    <xf numFmtId="0" fontId="69" fillId="0" borderId="0" applyFill="0" applyBorder="0">
      <alignment vertical="center"/>
      <protection locked="0"/>
    </xf>
    <xf numFmtId="166" fontId="71" fillId="0" borderId="0" applyFill="0" applyBorder="0">
      <alignment vertical="center"/>
    </xf>
    <xf numFmtId="167" fontId="71" fillId="0" borderId="0" applyFill="0" applyBorder="0">
      <alignment vertical="center"/>
    </xf>
    <xf numFmtId="168" fontId="71" fillId="0" borderId="0" applyFill="0" applyBorder="0">
      <alignment vertical="center"/>
    </xf>
    <xf numFmtId="169" fontId="71" fillId="0" borderId="0" applyFill="0" applyBorder="0">
      <alignment vertical="center"/>
    </xf>
    <xf numFmtId="164" fontId="71" fillId="0" borderId="0" applyFill="0" applyBorder="0">
      <alignment vertical="center"/>
    </xf>
    <xf numFmtId="165" fontId="71" fillId="0" borderId="0" applyFill="0" applyBorder="0">
      <alignment vertical="center"/>
    </xf>
    <xf numFmtId="0" fontId="72" fillId="0" borderId="0" applyFill="0" applyBorder="0">
      <alignment vertical="center"/>
    </xf>
    <xf numFmtId="0" fontId="73" fillId="0" borderId="0" applyFill="0" applyBorder="0">
      <alignment vertical="center"/>
    </xf>
    <xf numFmtId="0" fontId="74" fillId="0" borderId="0" applyFill="0" applyBorder="0">
      <alignment horizontal="center" vertical="center"/>
    </xf>
    <xf numFmtId="0" fontId="74" fillId="0" borderId="0" applyFill="0" applyBorder="0">
      <alignment horizontal="center" vertical="center"/>
    </xf>
    <xf numFmtId="0" fontId="75" fillId="0" borderId="0" applyFill="0" applyBorder="0">
      <alignment vertical="center"/>
    </xf>
    <xf numFmtId="0" fontId="76" fillId="0" borderId="0" applyFill="0" applyBorder="0">
      <alignment vertical="center"/>
    </xf>
    <xf numFmtId="0" fontId="77" fillId="0" borderId="0" applyFill="0" applyBorder="0">
      <alignment vertical="center"/>
    </xf>
    <xf numFmtId="0" fontId="77" fillId="0" borderId="0" applyFill="0" applyBorder="0">
      <alignment vertical="center"/>
    </xf>
    <xf numFmtId="0" fontId="71" fillId="0" borderId="0" applyFill="0" applyBorder="0">
      <alignment vertical="center"/>
    </xf>
    <xf numFmtId="41" fontId="81" fillId="11" borderId="25">
      <alignment horizontal="left"/>
      <protection locked="0"/>
    </xf>
    <xf numFmtId="41" fontId="78" fillId="14" borderId="15"/>
    <xf numFmtId="4" fontId="79" fillId="14" borderId="15"/>
    <xf numFmtId="41" fontId="80" fillId="13" borderId="18"/>
    <xf numFmtId="43" fontId="80" fillId="13" borderId="18"/>
    <xf numFmtId="43" fontId="81" fillId="11" borderId="25">
      <alignment horizontal="left"/>
      <protection locked="0"/>
    </xf>
    <xf numFmtId="4" fontId="55" fillId="14" borderId="18"/>
    <xf numFmtId="0" fontId="88" fillId="0" borderId="0"/>
    <xf numFmtId="0" fontId="89" fillId="0" borderId="0"/>
    <xf numFmtId="0" fontId="90" fillId="0" borderId="13"/>
    <xf numFmtId="4" fontId="91" fillId="20" borderId="18">
      <alignment horizontal="right"/>
    </xf>
    <xf numFmtId="3" fontId="91" fillId="20" borderId="18"/>
    <xf numFmtId="3" fontId="92" fillId="11" borderId="28">
      <protection locked="0"/>
    </xf>
    <xf numFmtId="4" fontId="93" fillId="7" borderId="16"/>
    <xf numFmtId="6" fontId="88" fillId="10" borderId="15"/>
    <xf numFmtId="6" fontId="94" fillId="10" borderId="15"/>
    <xf numFmtId="9" fontId="53" fillId="10" borderId="23"/>
    <xf numFmtId="10" fontId="95" fillId="10" borderId="16"/>
    <xf numFmtId="0" fontId="96" fillId="3" borderId="29">
      <alignment wrapText="1"/>
    </xf>
    <xf numFmtId="0" fontId="97" fillId="21" borderId="0" applyNumberFormat="0" applyFont="0" applyAlignment="0">
      <alignment horizontal="center"/>
    </xf>
    <xf numFmtId="179" fontId="98" fillId="22" borderId="1">
      <alignment horizontal="center"/>
    </xf>
    <xf numFmtId="0" fontId="99" fillId="0" borderId="0"/>
    <xf numFmtId="39" fontId="10" fillId="11" borderId="30">
      <alignment horizontal="right"/>
      <protection locked="0"/>
    </xf>
    <xf numFmtId="7" fontId="100" fillId="0" borderId="0">
      <alignment horizontal="right"/>
    </xf>
    <xf numFmtId="38" fontId="88" fillId="10" borderId="15"/>
    <xf numFmtId="38" fontId="94" fillId="10" borderId="15"/>
    <xf numFmtId="37" fontId="10" fillId="11" borderId="30">
      <alignment horizontal="right"/>
      <protection locked="0"/>
    </xf>
    <xf numFmtId="183" fontId="101" fillId="0" borderId="0" applyNumberFormat="0" applyFill="0" applyBorder="0" applyAlignment="0" applyProtection="0"/>
    <xf numFmtId="0" fontId="102"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4" fillId="0" borderId="0" applyNumberFormat="0" applyFont="0" applyFill="0" applyBorder="0" applyAlignment="0" applyProtection="0">
      <alignment vertical="top"/>
      <protection locked="0"/>
    </xf>
    <xf numFmtId="0" fontId="105" fillId="23" borderId="3" applyBorder="0">
      <alignment horizontal="center"/>
    </xf>
    <xf numFmtId="0" fontId="49" fillId="0" borderId="0"/>
    <xf numFmtId="0" fontId="100" fillId="0" borderId="0"/>
    <xf numFmtId="0" fontId="106" fillId="19" borderId="12">
      <alignment horizontal="left"/>
    </xf>
    <xf numFmtId="49" fontId="107" fillId="24" borderId="0">
      <alignment horizontal="center" wrapText="1"/>
    </xf>
    <xf numFmtId="0" fontId="108" fillId="7" borderId="31"/>
    <xf numFmtId="0" fontId="109" fillId="0" borderId="0"/>
    <xf numFmtId="0" fontId="100" fillId="0" borderId="0"/>
    <xf numFmtId="1" fontId="93" fillId="7" borderId="16"/>
    <xf numFmtId="0" fontId="110" fillId="7" borderId="0">
      <alignment horizontal="left"/>
    </xf>
    <xf numFmtId="0" fontId="71" fillId="0" borderId="0" applyFill="0" applyBorder="0">
      <alignment vertical="center"/>
    </xf>
    <xf numFmtId="0" fontId="10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9" fontId="53" fillId="10" borderId="32"/>
    <xf numFmtId="43"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cellStyleXfs>
  <cellXfs count="788">
    <xf numFmtId="0" fontId="0" fillId="0" borderId="0" xfId="0">
      <alignment vertical="center"/>
    </xf>
    <xf numFmtId="0" fontId="18" fillId="0" borderId="0" xfId="1" applyFont="1">
      <alignment vertical="center"/>
    </xf>
    <xf numFmtId="0" fontId="19" fillId="0" borderId="0" xfId="6" applyFont="1" applyAlignment="1">
      <alignment horizontal="left" vertical="center"/>
    </xf>
    <xf numFmtId="0" fontId="20" fillId="0" borderId="0" xfId="7" applyFont="1" applyAlignment="1">
      <alignment horizontal="left" vertical="center"/>
    </xf>
    <xf numFmtId="0" fontId="21" fillId="0" borderId="0" xfId="3" applyFont="1">
      <alignment vertical="center"/>
    </xf>
    <xf numFmtId="0" fontId="13" fillId="0" borderId="0" xfId="28" applyAlignment="1">
      <alignment horizontal="right" vertical="center"/>
    </xf>
    <xf numFmtId="0" fontId="13" fillId="0" borderId="0" xfId="28" applyAlignment="1">
      <alignment horizontal="left" vertical="center"/>
    </xf>
    <xf numFmtId="0" fontId="22" fillId="0" borderId="0" xfId="2" applyFont="1">
      <alignment vertical="center"/>
    </xf>
    <xf numFmtId="0" fontId="31" fillId="0" borderId="0" xfId="3" applyFont="1">
      <alignment vertical="center"/>
    </xf>
    <xf numFmtId="0" fontId="13" fillId="0" borderId="0" xfId="28" applyBorder="1">
      <alignment horizontal="center" vertical="center"/>
    </xf>
    <xf numFmtId="0" fontId="17" fillId="0" borderId="0" xfId="4" applyFont="1" applyBorder="1" applyAlignment="1">
      <alignment horizontal="left" vertical="center"/>
    </xf>
    <xf numFmtId="0" fontId="0" fillId="0" borderId="0" xfId="0" applyBorder="1">
      <alignment vertical="center"/>
    </xf>
    <xf numFmtId="0" fontId="23" fillId="0" borderId="0" xfId="0" applyFont="1" applyFill="1">
      <alignment vertical="center"/>
    </xf>
    <xf numFmtId="166" fontId="27" fillId="0" borderId="0" xfId="19" applyFont="1" applyFill="1">
      <alignment vertical="center"/>
    </xf>
    <xf numFmtId="175" fontId="27" fillId="0" borderId="0" xfId="22" applyNumberFormat="1" applyFont="1" applyFill="1">
      <alignment vertical="center"/>
    </xf>
    <xf numFmtId="0" fontId="17" fillId="0" borderId="0" xfId="4" applyFont="1" applyFill="1">
      <alignment vertical="center"/>
    </xf>
    <xf numFmtId="171" fontId="27" fillId="0" borderId="0" xfId="19" applyNumberFormat="1" applyFont="1" applyFill="1">
      <alignment vertical="center"/>
    </xf>
    <xf numFmtId="171" fontId="28" fillId="0" borderId="0" xfId="19" applyNumberFormat="1" applyFont="1" applyFill="1">
      <alignment vertical="center"/>
    </xf>
    <xf numFmtId="166" fontId="23" fillId="0" borderId="0" xfId="19" applyFont="1" applyFill="1">
      <alignment vertical="center"/>
    </xf>
    <xf numFmtId="165" fontId="27" fillId="0" borderId="0" xfId="18" applyFont="1" applyFill="1">
      <alignment vertical="center"/>
    </xf>
    <xf numFmtId="0" fontId="23" fillId="0" borderId="2" xfId="0" applyFont="1" applyFill="1" applyBorder="1">
      <alignment vertical="center"/>
    </xf>
    <xf numFmtId="176" fontId="26" fillId="0" borderId="2" xfId="23" applyNumberFormat="1" applyFont="1" applyFill="1" applyBorder="1" applyAlignment="1">
      <alignment horizontal="right" vertical="center"/>
    </xf>
    <xf numFmtId="0" fontId="20" fillId="0" borderId="2" xfId="7" applyFont="1" applyFill="1" applyBorder="1">
      <alignment vertical="center"/>
    </xf>
    <xf numFmtId="0" fontId="37" fillId="0" borderId="0" xfId="0" applyFont="1" applyFill="1">
      <alignment vertical="center"/>
    </xf>
    <xf numFmtId="166" fontId="28" fillId="0" borderId="5" xfId="19" applyFont="1" applyFill="1" applyBorder="1">
      <alignment vertical="center"/>
    </xf>
    <xf numFmtId="175" fontId="28" fillId="0" borderId="5" xfId="22" applyNumberFormat="1" applyFont="1" applyFill="1" applyBorder="1">
      <alignment vertical="center"/>
    </xf>
    <xf numFmtId="0" fontId="33" fillId="0" borderId="1" xfId="24" applyFont="1" applyFill="1">
      <alignment horizontal="center" vertical="center"/>
    </xf>
    <xf numFmtId="0" fontId="27" fillId="0" borderId="1" xfId="26" applyFont="1" applyFill="1">
      <alignment horizontal="center" vertical="center"/>
    </xf>
    <xf numFmtId="0" fontId="30" fillId="0" borderId="0" xfId="6" applyFont="1" applyFill="1" applyAlignment="1">
      <alignment horizontal="center" vertical="center" wrapText="1"/>
    </xf>
    <xf numFmtId="0" fontId="12" fillId="0" borderId="0" xfId="27" quotePrefix="1">
      <alignment vertical="center"/>
    </xf>
    <xf numFmtId="0" fontId="17" fillId="0" borderId="0" xfId="4" applyFont="1" applyFill="1" applyAlignment="1">
      <alignment horizontal="left" vertical="center"/>
    </xf>
    <xf numFmtId="0" fontId="24" fillId="0" borderId="0" xfId="16" applyFont="1" applyFill="1">
      <alignment horizontal="center" vertical="center"/>
      <protection locked="0"/>
    </xf>
    <xf numFmtId="0" fontId="20" fillId="0" borderId="0" xfId="7" applyFont="1" applyFill="1" applyAlignment="1">
      <alignment horizontal="left" vertical="center"/>
    </xf>
    <xf numFmtId="171" fontId="28" fillId="0" borderId="3" xfId="19" applyNumberFormat="1" applyFont="1" applyFill="1" applyBorder="1" applyAlignment="1">
      <alignment horizontal="center" vertical="center"/>
    </xf>
    <xf numFmtId="171" fontId="30" fillId="0" borderId="4" xfId="7" applyNumberFormat="1" applyFont="1" applyFill="1" applyBorder="1" applyAlignment="1">
      <alignment horizontal="left" vertical="center"/>
    </xf>
    <xf numFmtId="0" fontId="19" fillId="0" borderId="2" xfId="6" applyFont="1" applyFill="1" applyBorder="1" applyAlignment="1">
      <alignment horizontal="left" vertical="center"/>
    </xf>
    <xf numFmtId="0" fontId="0" fillId="0" borderId="2" xfId="0" applyFill="1" applyBorder="1">
      <alignment vertical="center"/>
    </xf>
    <xf numFmtId="0" fontId="19" fillId="0" borderId="2" xfId="6" applyFont="1" applyFill="1" applyBorder="1" applyAlignment="1">
      <alignment horizontal="center" vertical="center"/>
    </xf>
    <xf numFmtId="171" fontId="26" fillId="0" borderId="1" xfId="19" applyNumberFormat="1" applyFont="1" applyFill="1" applyBorder="1" applyAlignment="1">
      <alignment horizontal="center" vertical="center"/>
    </xf>
    <xf numFmtId="171" fontId="28" fillId="0" borderId="5" xfId="19" applyNumberFormat="1" applyFont="1" applyFill="1" applyBorder="1">
      <alignment vertical="center"/>
    </xf>
    <xf numFmtId="0" fontId="23" fillId="0" borderId="1" xfId="26" applyFont="1" applyFill="1">
      <alignment horizontal="center" vertical="center"/>
    </xf>
    <xf numFmtId="0" fontId="25" fillId="0" borderId="1" xfId="26" applyFont="1" applyFill="1">
      <alignment horizontal="center" vertical="center"/>
    </xf>
    <xf numFmtId="173" fontId="27" fillId="0" borderId="1" xfId="26" applyNumberFormat="1" applyFont="1" applyFill="1">
      <alignment horizontal="center" vertical="center"/>
    </xf>
    <xf numFmtId="171" fontId="23" fillId="0" borderId="0" xfId="19" applyNumberFormat="1" applyFont="1" applyFill="1">
      <alignment vertical="center"/>
    </xf>
    <xf numFmtId="171" fontId="28" fillId="0" borderId="7" xfId="19" applyNumberFormat="1" applyFont="1" applyFill="1" applyBorder="1">
      <alignment vertical="center"/>
    </xf>
    <xf numFmtId="175" fontId="28" fillId="0" borderId="8" xfId="22" applyNumberFormat="1" applyFont="1" applyFill="1" applyBorder="1">
      <alignment vertical="center"/>
    </xf>
    <xf numFmtId="0" fontId="18" fillId="0" borderId="0" xfId="1" quotePrefix="1" applyFont="1" applyFill="1">
      <alignment vertical="center"/>
    </xf>
    <xf numFmtId="0" fontId="21" fillId="0" borderId="0" xfId="3" applyFont="1" applyFill="1">
      <alignment vertical="center"/>
    </xf>
    <xf numFmtId="0" fontId="13" fillId="0" borderId="0" xfId="28" applyFill="1">
      <alignment horizontal="center" vertical="center"/>
    </xf>
    <xf numFmtId="0" fontId="13" fillId="0" borderId="0" xfId="28" applyFill="1" applyAlignment="1">
      <alignment horizontal="right" vertical="center"/>
    </xf>
    <xf numFmtId="0" fontId="13" fillId="0" borderId="0" xfId="28" applyFill="1" applyAlignment="1">
      <alignment horizontal="left" vertical="center"/>
    </xf>
    <xf numFmtId="0" fontId="13" fillId="0" borderId="0" xfId="29" applyFill="1" applyAlignment="1">
      <alignment horizontal="right" vertical="center"/>
    </xf>
    <xf numFmtId="0" fontId="13" fillId="0" borderId="0" xfId="29" applyFill="1" applyAlignment="1">
      <alignment horizontal="left" vertical="center"/>
    </xf>
    <xf numFmtId="0" fontId="18" fillId="0" borderId="0" xfId="1" applyFont="1" applyFill="1">
      <alignment vertical="center"/>
    </xf>
    <xf numFmtId="0" fontId="13" fillId="0" borderId="0" xfId="28">
      <alignment horizontal="center" vertical="center"/>
    </xf>
    <xf numFmtId="0" fontId="23" fillId="0" borderId="9" xfId="0" applyFont="1" applyFill="1" applyBorder="1">
      <alignment vertical="center"/>
    </xf>
    <xf numFmtId="0" fontId="18" fillId="0" borderId="0" xfId="1" quotePrefix="1" applyFont="1">
      <alignment vertical="center"/>
    </xf>
    <xf numFmtId="166" fontId="28" fillId="0" borderId="7" xfId="19" applyFont="1" applyFill="1" applyBorder="1">
      <alignment vertical="center"/>
    </xf>
    <xf numFmtId="175" fontId="28" fillId="0" borderId="7" xfId="22" applyNumberFormat="1" applyFont="1" applyFill="1" applyBorder="1">
      <alignment vertical="center"/>
    </xf>
    <xf numFmtId="166" fontId="28" fillId="0" borderId="8" xfId="19" applyFont="1" applyFill="1" applyBorder="1">
      <alignment vertical="center"/>
    </xf>
    <xf numFmtId="178" fontId="27" fillId="0" borderId="0" xfId="22" applyNumberFormat="1" applyFont="1" applyFill="1">
      <alignment vertical="center"/>
    </xf>
    <xf numFmtId="0" fontId="37" fillId="4" borderId="0" xfId="0" applyFont="1" applyFill="1">
      <alignment vertical="center"/>
    </xf>
    <xf numFmtId="0" fontId="39" fillId="0" borderId="0" xfId="0" quotePrefix="1" applyFont="1" applyAlignment="1"/>
    <xf numFmtId="0" fontId="39" fillId="0" borderId="0" xfId="0" applyFont="1" applyAlignment="1"/>
    <xf numFmtId="166" fontId="23" fillId="2" borderId="40" xfId="12" applyFont="1">
      <alignment vertical="center"/>
      <protection locked="0"/>
    </xf>
    <xf numFmtId="0" fontId="19" fillId="0" borderId="0" xfId="7" applyFont="1" applyFill="1">
      <alignment vertical="center"/>
    </xf>
    <xf numFmtId="0" fontId="10" fillId="0" borderId="0" xfId="56">
      <alignment vertical="center"/>
    </xf>
    <xf numFmtId="0" fontId="13" fillId="0" borderId="0" xfId="50">
      <alignment horizontal="center" vertical="center"/>
    </xf>
    <xf numFmtId="0" fontId="20" fillId="0" borderId="0" xfId="7" applyFont="1" applyFill="1">
      <alignment vertical="center"/>
    </xf>
    <xf numFmtId="166" fontId="23" fillId="0" borderId="8" xfId="19" applyFont="1" applyFill="1" applyBorder="1">
      <alignment vertical="center"/>
    </xf>
    <xf numFmtId="0" fontId="30" fillId="0" borderId="7" xfId="6" applyFont="1" applyFill="1" applyBorder="1">
      <alignment vertical="center"/>
    </xf>
    <xf numFmtId="166" fontId="23" fillId="0" borderId="5" xfId="19" applyFont="1" applyFill="1" applyBorder="1">
      <alignment vertical="center"/>
    </xf>
    <xf numFmtId="0" fontId="19" fillId="0" borderId="0" xfId="6" applyFont="1" applyFill="1" applyAlignment="1">
      <alignment horizontal="center" vertical="center" wrapText="1"/>
    </xf>
    <xf numFmtId="178" fontId="28" fillId="0" borderId="5" xfId="22" applyNumberFormat="1" applyFont="1" applyFill="1" applyBorder="1">
      <alignment vertical="center"/>
    </xf>
    <xf numFmtId="178" fontId="28" fillId="0" borderId="7" xfId="22" applyNumberFormat="1" applyFont="1" applyFill="1" applyBorder="1">
      <alignment vertical="center"/>
    </xf>
    <xf numFmtId="0" fontId="5" fillId="0" borderId="0" xfId="36">
      <alignment vertical="center"/>
    </xf>
    <xf numFmtId="14" fontId="0" fillId="0" borderId="0" xfId="0" applyNumberFormat="1">
      <alignment vertical="center"/>
    </xf>
    <xf numFmtId="0" fontId="40" fillId="0" borderId="0" xfId="41" applyFont="1" applyAlignment="1">
      <alignment horizontal="right" vertical="center"/>
      <protection locked="0"/>
    </xf>
    <xf numFmtId="0" fontId="16" fillId="0" borderId="0" xfId="33" applyAlignment="1">
      <alignment horizontal="center" vertical="center"/>
    </xf>
    <xf numFmtId="0" fontId="13" fillId="0" borderId="0" xfId="29" applyFill="1">
      <alignment horizontal="center" vertical="center"/>
    </xf>
    <xf numFmtId="0" fontId="29" fillId="0" borderId="0" xfId="7" applyFont="1" applyAlignment="1">
      <alignment horizontal="left" vertical="center"/>
    </xf>
    <xf numFmtId="0" fontId="45" fillId="0" borderId="0" xfId="4" applyFont="1" applyFill="1">
      <alignment vertical="center"/>
    </xf>
    <xf numFmtId="0" fontId="46" fillId="0" borderId="0" xfId="5" applyFont="1" applyFill="1">
      <alignment vertical="center"/>
    </xf>
    <xf numFmtId="0" fontId="19" fillId="0" borderId="0" xfId="6" applyFont="1" applyFill="1" applyBorder="1" applyAlignment="1">
      <alignment horizontal="left" vertical="center"/>
    </xf>
    <xf numFmtId="0" fontId="0" fillId="0" borderId="0" xfId="0" applyFill="1" applyBorder="1">
      <alignment vertical="center"/>
    </xf>
    <xf numFmtId="0" fontId="19" fillId="0" borderId="0" xfId="6" applyFont="1" applyFill="1" applyBorder="1" applyAlignment="1">
      <alignment horizontal="center" vertical="center"/>
    </xf>
    <xf numFmtId="0" fontId="24" fillId="0" borderId="0" xfId="16" applyFont="1">
      <alignment horizontal="center" vertical="center"/>
      <protection locked="0"/>
    </xf>
    <xf numFmtId="167" fontId="23" fillId="0" borderId="0" xfId="20" applyFont="1" applyFill="1">
      <alignment vertical="center"/>
    </xf>
    <xf numFmtId="0" fontId="20" fillId="0" borderId="0" xfId="7" applyFont="1">
      <alignment vertical="center"/>
    </xf>
    <xf numFmtId="0" fontId="17" fillId="0" borderId="0" xfId="4" applyFont="1">
      <alignment vertical="center"/>
    </xf>
    <xf numFmtId="0" fontId="48" fillId="0" borderId="0" xfId="4" applyFont="1" applyFill="1">
      <alignment vertical="center"/>
    </xf>
    <xf numFmtId="0" fontId="19" fillId="0" borderId="0" xfId="6" applyFont="1" applyAlignment="1">
      <alignment horizontal="right" vertical="center"/>
    </xf>
    <xf numFmtId="0" fontId="32" fillId="0" borderId="0" xfId="5" applyFont="1">
      <alignment vertical="center"/>
    </xf>
    <xf numFmtId="165" fontId="27" fillId="0" borderId="0" xfId="18" applyFont="1">
      <alignment vertical="center"/>
    </xf>
    <xf numFmtId="0" fontId="111" fillId="25" borderId="0" xfId="4" applyFont="1" applyFill="1" applyAlignment="1">
      <alignment horizontal="center" vertical="center"/>
    </xf>
    <xf numFmtId="171" fontId="25" fillId="0" borderId="0" xfId="19" applyNumberFormat="1" applyFont="1" applyFill="1">
      <alignment vertical="center"/>
    </xf>
    <xf numFmtId="0" fontId="27" fillId="0" borderId="0" xfId="0" applyFont="1" applyFill="1">
      <alignment vertical="center"/>
    </xf>
    <xf numFmtId="175" fontId="28" fillId="0" borderId="6" xfId="22" applyNumberFormat="1" applyFont="1" applyFill="1" applyBorder="1">
      <alignment vertical="center"/>
    </xf>
    <xf numFmtId="0" fontId="8" fillId="0" borderId="0" xfId="39" applyAlignment="1">
      <alignment horizontal="left" vertical="center"/>
    </xf>
    <xf numFmtId="0" fontId="9" fillId="0" borderId="0" xfId="40" applyAlignment="1">
      <alignment horizontal="left" vertical="center"/>
    </xf>
    <xf numFmtId="0" fontId="4" fillId="0" borderId="0" xfId="35">
      <alignment vertical="center"/>
    </xf>
    <xf numFmtId="0" fontId="3" fillId="0" borderId="0" xfId="34" quotePrefix="1">
      <alignment vertical="center"/>
    </xf>
    <xf numFmtId="0" fontId="40" fillId="0" borderId="0" xfId="56" applyFont="1">
      <alignment vertical="center"/>
    </xf>
    <xf numFmtId="0" fontId="26" fillId="0" borderId="2" xfId="23" applyFont="1" applyFill="1" applyBorder="1">
      <alignment vertical="center"/>
    </xf>
    <xf numFmtId="164" fontId="27" fillId="0" borderId="2" xfId="17" applyFont="1" applyFill="1" applyBorder="1">
      <alignment vertical="center"/>
    </xf>
    <xf numFmtId="0" fontId="17" fillId="0" borderId="0" xfId="4" applyFont="1" applyBorder="1" applyAlignment="1">
      <alignment horizontal="center" vertical="center"/>
    </xf>
    <xf numFmtId="0" fontId="12" fillId="0" borderId="0" xfId="27" quotePrefix="1" applyBorder="1">
      <alignment vertical="center"/>
    </xf>
    <xf numFmtId="0" fontId="112" fillId="0" borderId="0" xfId="56" applyFont="1">
      <alignment vertical="center"/>
    </xf>
    <xf numFmtId="0" fontId="59" fillId="17" borderId="0" xfId="711" applyBorder="1">
      <alignment horizontal="center" vertical="center" wrapText="1"/>
    </xf>
    <xf numFmtId="169" fontId="27" fillId="0" borderId="0" xfId="22" applyFont="1" applyFill="1">
      <alignment vertical="center"/>
    </xf>
    <xf numFmtId="0" fontId="36" fillId="0" borderId="7" xfId="6" applyFont="1" applyFill="1" applyBorder="1">
      <alignment vertical="center"/>
    </xf>
    <xf numFmtId="0" fontId="32" fillId="0" borderId="0" xfId="5" applyFont="1" applyFill="1">
      <alignment vertical="center"/>
    </xf>
    <xf numFmtId="0" fontId="23" fillId="0" borderId="37" xfId="0" applyFont="1" applyFill="1" applyBorder="1">
      <alignment vertical="center"/>
    </xf>
    <xf numFmtId="49" fontId="10" fillId="0" borderId="0" xfId="56" applyNumberFormat="1">
      <alignment vertical="center"/>
    </xf>
    <xf numFmtId="49" fontId="40" fillId="0" borderId="0" xfId="56" applyNumberFormat="1" applyFont="1">
      <alignment vertical="center"/>
    </xf>
    <xf numFmtId="171" fontId="23" fillId="2" borderId="40" xfId="12" applyNumberFormat="1" applyFont="1">
      <alignment vertical="center"/>
      <protection locked="0"/>
    </xf>
    <xf numFmtId="0" fontId="26" fillId="0" borderId="0" xfId="0" applyFont="1" applyFill="1">
      <alignment vertical="center"/>
    </xf>
    <xf numFmtId="174" fontId="23" fillId="2" borderId="40" xfId="12" applyNumberFormat="1" applyFont="1">
      <alignment vertical="center"/>
      <protection locked="0"/>
    </xf>
    <xf numFmtId="0" fontId="12" fillId="0" borderId="0" xfId="49">
      <alignment vertical="center"/>
    </xf>
    <xf numFmtId="167" fontId="27" fillId="0" borderId="0" xfId="20" applyFont="1" applyFill="1">
      <alignment vertical="center"/>
    </xf>
    <xf numFmtId="177" fontId="23" fillId="2" borderId="40" xfId="13" applyNumberFormat="1" applyFont="1">
      <alignment vertical="center"/>
      <protection locked="0"/>
    </xf>
    <xf numFmtId="167" fontId="23" fillId="2" borderId="40" xfId="13" applyFont="1">
      <alignment vertical="center"/>
      <protection locked="0"/>
    </xf>
    <xf numFmtId="171" fontId="23" fillId="2" borderId="40" xfId="12" applyNumberFormat="1" applyFont="1" applyAlignment="1">
      <alignment horizontal="center" vertical="center"/>
      <protection locked="0"/>
    </xf>
    <xf numFmtId="174" fontId="23" fillId="2" borderId="40" xfId="12" applyNumberFormat="1" applyFont="1" applyAlignment="1">
      <alignment horizontal="right" vertical="center"/>
      <protection locked="0"/>
    </xf>
    <xf numFmtId="0" fontId="28" fillId="0" borderId="0" xfId="0" applyFont="1" applyFill="1">
      <alignment vertical="center"/>
    </xf>
    <xf numFmtId="177" fontId="33" fillId="0" borderId="0" xfId="20" applyNumberFormat="1" applyFont="1" applyFill="1">
      <alignment vertical="center"/>
    </xf>
    <xf numFmtId="0" fontId="33" fillId="0" borderId="0" xfId="0" applyFont="1" applyFill="1">
      <alignment vertical="center"/>
    </xf>
    <xf numFmtId="175" fontId="23" fillId="2" borderId="40" xfId="15" applyNumberFormat="1" applyFont="1">
      <alignment vertical="center"/>
      <protection locked="0"/>
    </xf>
    <xf numFmtId="169" fontId="27" fillId="0" borderId="7" xfId="22" applyFont="1" applyFill="1" applyBorder="1">
      <alignment vertical="center"/>
    </xf>
    <xf numFmtId="0" fontId="36" fillId="0" borderId="0" xfId="6" applyFont="1" applyFill="1" applyAlignment="1">
      <alignment horizontal="right" vertical="center"/>
    </xf>
    <xf numFmtId="0" fontId="36" fillId="0" borderId="0" xfId="6" applyFont="1" applyFill="1" applyAlignment="1">
      <alignment horizontal="left" vertical="center"/>
    </xf>
    <xf numFmtId="0" fontId="19" fillId="0" borderId="0" xfId="7" applyFont="1" applyFill="1" applyAlignment="1">
      <alignment horizontal="left" vertical="center"/>
    </xf>
    <xf numFmtId="0" fontId="28" fillId="0" borderId="0" xfId="0" applyFont="1" applyFill="1" applyAlignment="1">
      <alignment horizontal="right" vertical="center"/>
    </xf>
    <xf numFmtId="0" fontId="36" fillId="0" borderId="9" xfId="6" applyFont="1" applyFill="1" applyBorder="1" applyAlignment="1">
      <alignment horizontal="center" vertical="center"/>
    </xf>
    <xf numFmtId="0" fontId="0" fillId="0" borderId="0" xfId="0" applyFill="1">
      <alignment vertical="center"/>
    </xf>
    <xf numFmtId="166" fontId="25" fillId="0" borderId="0" xfId="19" applyFont="1" applyFill="1">
      <alignment vertical="center"/>
    </xf>
    <xf numFmtId="0" fontId="36" fillId="0" borderId="3" xfId="6" applyFont="1" applyFill="1" applyBorder="1">
      <alignment vertical="center"/>
    </xf>
    <xf numFmtId="0" fontId="36" fillId="0" borderId="36" xfId="6" applyFont="1" applyFill="1" applyBorder="1">
      <alignment vertical="center"/>
    </xf>
    <xf numFmtId="166" fontId="28" fillId="0" borderId="38" xfId="19" applyFont="1" applyFill="1" applyBorder="1">
      <alignment vertical="center"/>
    </xf>
    <xf numFmtId="166" fontId="28" fillId="0" borderId="36" xfId="19" applyFont="1" applyFill="1" applyBorder="1">
      <alignment vertical="center"/>
    </xf>
    <xf numFmtId="185" fontId="27" fillId="2" borderId="40" xfId="12" applyNumberFormat="1" applyFont="1">
      <alignment vertical="center"/>
      <protection locked="0"/>
    </xf>
    <xf numFmtId="185" fontId="23" fillId="2" borderId="40" xfId="12" applyNumberFormat="1" applyFont="1">
      <alignment vertical="center"/>
      <protection locked="0"/>
    </xf>
    <xf numFmtId="0" fontId="19" fillId="0" borderId="0" xfId="6" applyFont="1" applyFill="1" applyAlignment="1">
      <alignment horizontal="center" vertical="center"/>
    </xf>
    <xf numFmtId="0" fontId="34" fillId="0" borderId="0" xfId="7" applyFont="1" applyFill="1" applyAlignment="1">
      <alignment horizontal="right" vertical="center"/>
    </xf>
    <xf numFmtId="184" fontId="23" fillId="0" borderId="0" xfId="0" applyNumberFormat="1" applyFont="1" applyFill="1">
      <alignment vertical="center"/>
    </xf>
    <xf numFmtId="0" fontId="28" fillId="0" borderId="7" xfId="0" applyFont="1" applyFill="1" applyBorder="1">
      <alignment vertical="center"/>
    </xf>
    <xf numFmtId="0" fontId="113" fillId="5" borderId="39" xfId="37" applyFont="1" applyFill="1" applyBorder="1" applyAlignment="1">
      <alignment horizontal="center" vertical="center"/>
    </xf>
    <xf numFmtId="169" fontId="28" fillId="0" borderId="7" xfId="22" applyFont="1" applyFill="1" applyBorder="1">
      <alignment vertical="center"/>
    </xf>
    <xf numFmtId="0" fontId="12" fillId="0" borderId="0" xfId="27">
      <alignment vertical="center"/>
    </xf>
    <xf numFmtId="0" fontId="13" fillId="0" borderId="0" xfId="50" applyAlignment="1">
      <alignment horizontal="right" vertical="center"/>
    </xf>
    <xf numFmtId="0" fontId="12" fillId="0" borderId="0" xfId="27" applyFill="1">
      <alignment vertical="center"/>
    </xf>
    <xf numFmtId="0" fontId="23" fillId="2" borderId="40" xfId="9" applyFont="1">
      <alignment vertical="center"/>
      <protection locked="0"/>
    </xf>
    <xf numFmtId="0" fontId="19" fillId="0" borderId="0" xfId="6" applyFont="1" applyFill="1">
      <alignment vertical="center"/>
    </xf>
    <xf numFmtId="0" fontId="36" fillId="0" borderId="0" xfId="6" applyFont="1" applyFill="1">
      <alignment vertical="center"/>
    </xf>
    <xf numFmtId="0" fontId="29" fillId="0" borderId="0" xfId="7" applyFont="1" applyFill="1">
      <alignment vertical="center"/>
    </xf>
    <xf numFmtId="0" fontId="30" fillId="0" borderId="0" xfId="6" applyFont="1" applyFill="1">
      <alignment vertical="center"/>
    </xf>
    <xf numFmtId="0" fontId="19" fillId="0" borderId="8" xfId="6" applyFont="1" applyFill="1" applyBorder="1">
      <alignment vertical="center"/>
    </xf>
    <xf numFmtId="0" fontId="19" fillId="0" borderId="5" xfId="6" applyFont="1" applyFill="1" applyBorder="1">
      <alignment vertical="center"/>
    </xf>
    <xf numFmtId="0" fontId="23" fillId="2" borderId="40" xfId="9" applyFont="1" applyAlignment="1">
      <alignment horizontal="center" vertical="center"/>
      <protection locked="0"/>
    </xf>
    <xf numFmtId="0" fontId="9" fillId="0" borderId="0" xfId="7" applyFill="1">
      <alignment vertical="center"/>
    </xf>
    <xf numFmtId="0" fontId="8" fillId="0" borderId="0" xfId="6" applyFill="1">
      <alignment vertical="center"/>
    </xf>
    <xf numFmtId="165" fontId="10" fillId="0" borderId="0" xfId="18" applyFill="1">
      <alignment vertical="center"/>
    </xf>
    <xf numFmtId="166" fontId="10" fillId="0" borderId="0" xfId="19" applyFill="1">
      <alignment vertical="center"/>
    </xf>
    <xf numFmtId="169" fontId="10" fillId="0" borderId="0" xfId="22" applyFill="1">
      <alignment vertical="center"/>
    </xf>
    <xf numFmtId="0" fontId="5" fillId="0" borderId="0" xfId="3">
      <alignment vertical="center"/>
    </xf>
    <xf numFmtId="175" fontId="28" fillId="0" borderId="55" xfId="22" applyNumberFormat="1" applyFont="1" applyFill="1" applyBorder="1">
      <alignment vertical="center"/>
    </xf>
    <xf numFmtId="0" fontId="23" fillId="0" borderId="56" xfId="0" applyFont="1" applyFill="1" applyBorder="1">
      <alignment vertical="center"/>
    </xf>
    <xf numFmtId="171" fontId="10" fillId="0" borderId="0" xfId="19" applyNumberFormat="1" applyFill="1">
      <alignment vertical="center"/>
    </xf>
    <xf numFmtId="164" fontId="10" fillId="0" borderId="2" xfId="17" applyFill="1" applyBorder="1">
      <alignment vertical="center"/>
    </xf>
    <xf numFmtId="166" fontId="0" fillId="0" borderId="0" xfId="19" applyFont="1" applyFill="1">
      <alignment vertical="center"/>
    </xf>
    <xf numFmtId="0" fontId="0" fillId="0" borderId="1" xfId="26" applyFont="1" applyFill="1">
      <alignment horizontal="center" vertical="center"/>
    </xf>
    <xf numFmtId="0" fontId="7" fillId="0" borderId="0" xfId="5" applyFill="1">
      <alignment vertical="center"/>
    </xf>
    <xf numFmtId="0" fontId="23" fillId="2" borderId="50" xfId="9" applyFont="1" applyBorder="1">
      <alignment vertical="center"/>
      <protection locked="0"/>
    </xf>
    <xf numFmtId="166" fontId="23" fillId="2" borderId="50" xfId="12" applyFont="1" applyBorder="1">
      <alignment vertical="center"/>
      <protection locked="0"/>
    </xf>
    <xf numFmtId="0" fontId="23" fillId="2" borderId="50" xfId="9" applyFont="1" applyBorder="1" applyAlignment="1">
      <alignment horizontal="center" vertical="center"/>
      <protection locked="0"/>
    </xf>
    <xf numFmtId="171" fontId="0" fillId="0" borderId="0" xfId="19" applyNumberFormat="1" applyFont="1" applyFill="1">
      <alignment vertical="center"/>
    </xf>
    <xf numFmtId="175" fontId="0" fillId="0" borderId="0" xfId="22" applyNumberFormat="1" applyFont="1" applyFill="1">
      <alignment vertical="center"/>
    </xf>
    <xf numFmtId="166" fontId="0" fillId="0" borderId="5" xfId="19" applyFont="1" applyFill="1" applyBorder="1">
      <alignment vertical="center"/>
    </xf>
    <xf numFmtId="0" fontId="8" fillId="0" borderId="7" xfId="6" applyFill="1" applyBorder="1">
      <alignment vertical="center"/>
    </xf>
    <xf numFmtId="175" fontId="10" fillId="0" borderId="0" xfId="22" applyNumberFormat="1" applyFill="1">
      <alignment vertical="center"/>
    </xf>
    <xf numFmtId="178" fontId="11" fillId="0" borderId="5" xfId="22" applyNumberFormat="1" applyFont="1" applyFill="1" applyBorder="1">
      <alignment vertical="center"/>
    </xf>
    <xf numFmtId="166" fontId="11" fillId="0" borderId="8" xfId="19" applyFont="1" applyFill="1" applyBorder="1">
      <alignment vertical="center"/>
    </xf>
    <xf numFmtId="166" fontId="11" fillId="0" borderId="5" xfId="19" applyFont="1" applyFill="1" applyBorder="1">
      <alignment vertical="center"/>
    </xf>
    <xf numFmtId="0" fontId="17" fillId="0" borderId="0" xfId="4" quotePrefix="1" applyFont="1" applyFill="1">
      <alignment vertical="center"/>
    </xf>
    <xf numFmtId="175" fontId="11" fillId="0" borderId="7" xfId="22" applyNumberFormat="1" applyFont="1" applyFill="1" applyBorder="1">
      <alignment vertical="center"/>
    </xf>
    <xf numFmtId="166" fontId="11" fillId="0" borderId="7" xfId="19" applyFont="1" applyFill="1" applyBorder="1">
      <alignment vertical="center"/>
    </xf>
    <xf numFmtId="175" fontId="11" fillId="0" borderId="0" xfId="22" applyNumberFormat="1" applyFont="1" applyFill="1">
      <alignment vertical="center"/>
    </xf>
    <xf numFmtId="175" fontId="11" fillId="0" borderId="8" xfId="22" applyNumberFormat="1" applyFont="1" applyFill="1" applyBorder="1">
      <alignment vertical="center"/>
    </xf>
    <xf numFmtId="166" fontId="10" fillId="0" borderId="0" xfId="19" applyFill="1" applyBorder="1">
      <alignment vertical="center"/>
    </xf>
    <xf numFmtId="175" fontId="10" fillId="0" borderId="0" xfId="22" applyNumberFormat="1" applyFill="1" applyBorder="1">
      <alignment vertical="center"/>
    </xf>
    <xf numFmtId="0" fontId="19" fillId="0" borderId="58" xfId="6" applyFont="1" applyFill="1" applyBorder="1">
      <alignment vertical="center"/>
    </xf>
    <xf numFmtId="171" fontId="11" fillId="0" borderId="7" xfId="19" applyNumberFormat="1" applyFont="1" applyFill="1" applyBorder="1">
      <alignment vertical="center"/>
    </xf>
    <xf numFmtId="166" fontId="23" fillId="0" borderId="2" xfId="19" applyFont="1" applyFill="1" applyBorder="1">
      <alignment vertical="center"/>
    </xf>
    <xf numFmtId="166" fontId="25" fillId="0" borderId="0" xfId="19" applyFont="1" applyFill="1" applyBorder="1">
      <alignment vertical="center"/>
    </xf>
    <xf numFmtId="166" fontId="23" fillId="0" borderId="9" xfId="19" applyFont="1" applyFill="1" applyBorder="1">
      <alignment vertical="center"/>
    </xf>
    <xf numFmtId="171" fontId="11" fillId="0" borderId="0" xfId="19" applyNumberFormat="1" applyFont="1" applyFill="1">
      <alignment vertical="center"/>
    </xf>
    <xf numFmtId="171" fontId="11" fillId="0" borderId="6" xfId="19" applyNumberFormat="1" applyFont="1" applyFill="1" applyBorder="1">
      <alignment vertical="center"/>
    </xf>
    <xf numFmtId="171" fontId="11" fillId="0" borderId="5" xfId="19" applyNumberFormat="1" applyFont="1" applyFill="1" applyBorder="1">
      <alignment vertical="center"/>
    </xf>
    <xf numFmtId="175" fontId="11" fillId="0" borderId="5" xfId="22" applyNumberFormat="1" applyFont="1" applyFill="1" applyBorder="1">
      <alignment vertical="center"/>
    </xf>
    <xf numFmtId="175" fontId="23" fillId="2" borderId="48" xfId="15" applyNumberFormat="1" applyFont="1" applyBorder="1">
      <alignment vertical="center"/>
      <protection locked="0"/>
    </xf>
    <xf numFmtId="175" fontId="23" fillId="2" borderId="54" xfId="15" applyNumberFormat="1" applyFont="1" applyBorder="1">
      <alignment vertical="center"/>
      <protection locked="0"/>
    </xf>
    <xf numFmtId="175" fontId="23" fillId="2" borderId="50" xfId="15" applyNumberFormat="1" applyFont="1" applyBorder="1">
      <alignment vertical="center"/>
      <protection locked="0"/>
    </xf>
    <xf numFmtId="171" fontId="23" fillId="2" borderId="50" xfId="12" applyNumberFormat="1" applyFont="1" applyBorder="1">
      <alignment vertical="center"/>
      <protection locked="0"/>
    </xf>
    <xf numFmtId="164" fontId="23" fillId="2" borderId="41" xfId="10" applyFont="1" applyBorder="1">
      <alignment vertical="center"/>
      <protection locked="0"/>
    </xf>
    <xf numFmtId="166" fontId="23" fillId="2" borderId="42" xfId="12" applyFont="1" applyBorder="1">
      <alignment vertical="center"/>
      <protection locked="0"/>
    </xf>
    <xf numFmtId="167" fontId="33" fillId="2" borderId="57" xfId="13" applyFont="1" applyBorder="1">
      <alignment vertical="center"/>
      <protection locked="0"/>
    </xf>
    <xf numFmtId="171" fontId="33" fillId="2" borderId="50" xfId="12" applyNumberFormat="1" applyFont="1" applyBorder="1">
      <alignment vertical="center"/>
      <protection locked="0"/>
    </xf>
    <xf numFmtId="174" fontId="23" fillId="2" borderId="50" xfId="12" applyNumberFormat="1" applyFont="1" applyBorder="1">
      <alignment vertical="center"/>
      <protection locked="0"/>
    </xf>
    <xf numFmtId="171" fontId="26" fillId="0" borderId="0" xfId="19" applyNumberFormat="1" applyFont="1" applyFill="1">
      <alignment vertical="center"/>
    </xf>
    <xf numFmtId="171" fontId="10" fillId="0" borderId="2" xfId="19" applyNumberFormat="1" applyFill="1" applyBorder="1">
      <alignment vertical="center"/>
    </xf>
    <xf numFmtId="171" fontId="10" fillId="0" borderId="0" xfId="19" applyNumberFormat="1" applyFill="1" applyBorder="1">
      <alignment vertical="center"/>
    </xf>
    <xf numFmtId="0" fontId="114" fillId="7" borderId="34" xfId="0" applyFont="1" applyFill="1" applyBorder="1" applyAlignment="1">
      <alignment horizontal="center"/>
    </xf>
    <xf numFmtId="0" fontId="0" fillId="12" borderId="61" xfId="0" applyFill="1" applyBorder="1">
      <alignment vertical="center"/>
    </xf>
    <xf numFmtId="0" fontId="0" fillId="12" borderId="0" xfId="0" applyFill="1" applyBorder="1">
      <alignment vertical="center"/>
    </xf>
    <xf numFmtId="0" fontId="0" fillId="7" borderId="0" xfId="0" applyFill="1" applyBorder="1">
      <alignment vertical="center"/>
    </xf>
    <xf numFmtId="0" fontId="0" fillId="26" borderId="0" xfId="0" applyFill="1" applyBorder="1">
      <alignment vertical="center"/>
    </xf>
    <xf numFmtId="0" fontId="115" fillId="26" borderId="0" xfId="710" applyFont="1" applyFill="1" applyAlignment="1">
      <alignment horizontal="left"/>
    </xf>
    <xf numFmtId="0" fontId="0" fillId="12" borderId="63" xfId="0" applyFill="1" applyBorder="1">
      <alignment vertical="center"/>
    </xf>
    <xf numFmtId="0" fontId="0" fillId="12" borderId="9" xfId="0" applyFill="1" applyBorder="1">
      <alignment vertical="center"/>
    </xf>
    <xf numFmtId="0" fontId="0" fillId="0" borderId="9" xfId="0" applyBorder="1">
      <alignment vertical="center"/>
    </xf>
    <xf numFmtId="0" fontId="0" fillId="26" borderId="9" xfId="0" applyFill="1" applyBorder="1">
      <alignment vertical="center"/>
    </xf>
    <xf numFmtId="0" fontId="11" fillId="0" borderId="0" xfId="0" applyFont="1" applyAlignment="1">
      <alignment horizontal="center" vertical="center"/>
    </xf>
    <xf numFmtId="179" fontId="0" fillId="0" borderId="0" xfId="864" applyNumberFormat="1" applyFont="1" applyAlignment="1">
      <alignment vertical="center"/>
    </xf>
    <xf numFmtId="186" fontId="11" fillId="0" borderId="0" xfId="0" applyNumberFormat="1" applyFont="1" applyBorder="1">
      <alignment vertical="center"/>
    </xf>
    <xf numFmtId="179" fontId="11" fillId="0" borderId="0" xfId="864" applyNumberFormat="1" applyFont="1" applyBorder="1" applyAlignment="1">
      <alignment vertical="center"/>
    </xf>
    <xf numFmtId="178" fontId="10" fillId="0" borderId="0" xfId="22" applyNumberFormat="1" applyFill="1">
      <alignment vertical="center"/>
    </xf>
    <xf numFmtId="178" fontId="11" fillId="0" borderId="6" xfId="22" applyNumberFormat="1" applyFont="1" applyFill="1" applyBorder="1">
      <alignment vertical="center"/>
    </xf>
    <xf numFmtId="178" fontId="11" fillId="0" borderId="7" xfId="22" applyNumberFormat="1" applyFont="1" applyFill="1" applyBorder="1">
      <alignment vertical="center"/>
    </xf>
    <xf numFmtId="186" fontId="116" fillId="0" borderId="0" xfId="16" applyNumberFormat="1" applyFont="1" applyBorder="1">
      <alignment horizontal="center" vertical="center"/>
      <protection locked="0"/>
    </xf>
    <xf numFmtId="0" fontId="10" fillId="0" borderId="1" xfId="26" applyFill="1">
      <alignment horizontal="center" vertical="center"/>
    </xf>
    <xf numFmtId="0" fontId="117" fillId="0" borderId="0" xfId="1" quotePrefix="1" applyFont="1">
      <alignment vertical="center"/>
    </xf>
    <xf numFmtId="0" fontId="11" fillId="0" borderId="61" xfId="0" applyFont="1" applyBorder="1">
      <alignment vertical="center"/>
    </xf>
    <xf numFmtId="0" fontId="0" fillId="0" borderId="62" xfId="0" applyBorder="1">
      <alignment vertical="center"/>
    </xf>
    <xf numFmtId="0" fontId="0" fillId="0" borderId="61" xfId="0" applyBorder="1">
      <alignment vertical="center"/>
    </xf>
    <xf numFmtId="0" fontId="11" fillId="0" borderId="0" xfId="0" applyFont="1" applyBorder="1">
      <alignment vertical="center"/>
    </xf>
    <xf numFmtId="171" fontId="0" fillId="0" borderId="0" xfId="19" applyNumberFormat="1" applyFont="1" applyBorder="1">
      <alignment vertical="center"/>
    </xf>
    <xf numFmtId="9" fontId="0" fillId="0" borderId="0" xfId="865" applyFont="1" applyBorder="1" applyAlignment="1">
      <alignment vertical="center"/>
    </xf>
    <xf numFmtId="0" fontId="0" fillId="0" borderId="63" xfId="0" applyBorder="1">
      <alignment vertical="center"/>
    </xf>
    <xf numFmtId="171" fontId="11" fillId="0" borderId="5" xfId="19" applyNumberFormat="1" applyFont="1" applyBorder="1">
      <alignment vertical="center"/>
    </xf>
    <xf numFmtId="0" fontId="0" fillId="0" borderId="64" xfId="0" applyBorder="1">
      <alignment vertical="center"/>
    </xf>
    <xf numFmtId="0" fontId="11" fillId="0" borderId="0" xfId="0" applyFont="1" applyFill="1" applyBorder="1" applyAlignment="1">
      <alignment horizontal="center" vertical="center"/>
    </xf>
    <xf numFmtId="174" fontId="25" fillId="0" borderId="0" xfId="19" applyNumberFormat="1" applyFont="1" applyFill="1">
      <alignment vertical="center"/>
    </xf>
    <xf numFmtId="0" fontId="0" fillId="2" borderId="61" xfId="0" applyFill="1" applyBorder="1">
      <alignment vertical="center"/>
    </xf>
    <xf numFmtId="0" fontId="0" fillId="2" borderId="0" xfId="0" applyFill="1" applyBorder="1">
      <alignment vertical="center"/>
    </xf>
    <xf numFmtId="0" fontId="0" fillId="2" borderId="62" xfId="0" applyFill="1" applyBorder="1">
      <alignment vertical="center"/>
    </xf>
    <xf numFmtId="0" fontId="0" fillId="2" borderId="63" xfId="0" applyFill="1" applyBorder="1">
      <alignment vertical="center"/>
    </xf>
    <xf numFmtId="0" fontId="0" fillId="2" borderId="9" xfId="0" applyFill="1" applyBorder="1">
      <alignment vertical="center"/>
    </xf>
    <xf numFmtId="0" fontId="0" fillId="2" borderId="64" xfId="0" applyFill="1" applyBorder="1">
      <alignment vertical="center"/>
    </xf>
    <xf numFmtId="0" fontId="0" fillId="26" borderId="33" xfId="0" applyFill="1" applyBorder="1">
      <alignment vertical="center"/>
    </xf>
    <xf numFmtId="0" fontId="19" fillId="0" borderId="0" xfId="7" applyFont="1" applyFill="1" applyAlignment="1">
      <alignment horizontal="center" vertical="center"/>
    </xf>
    <xf numFmtId="49" fontId="19" fillId="0" borderId="0" xfId="6" applyNumberFormat="1" applyFont="1" applyFill="1" applyAlignment="1">
      <alignment horizontal="right" vertical="center"/>
    </xf>
    <xf numFmtId="0" fontId="9" fillId="0" borderId="0" xfId="7" applyFill="1" applyAlignment="1">
      <alignment horizontal="right" vertical="center"/>
    </xf>
    <xf numFmtId="0" fontId="23" fillId="4" borderId="0" xfId="0" applyFont="1" applyFill="1">
      <alignment vertical="center"/>
    </xf>
    <xf numFmtId="0" fontId="8" fillId="0" borderId="0" xfId="7" applyFont="1" applyFill="1">
      <alignment vertical="center"/>
    </xf>
    <xf numFmtId="167" fontId="10" fillId="0" borderId="0" xfId="20" applyFill="1">
      <alignment vertical="center"/>
    </xf>
    <xf numFmtId="171" fontId="11" fillId="0" borderId="8" xfId="19" applyNumberFormat="1" applyFont="1" applyFill="1" applyBorder="1">
      <alignment vertical="center"/>
    </xf>
    <xf numFmtId="177" fontId="10" fillId="0" borderId="0" xfId="20" applyNumberFormat="1" applyFill="1">
      <alignment vertical="center"/>
    </xf>
    <xf numFmtId="178" fontId="11" fillId="0" borderId="0" xfId="22" applyNumberFormat="1" applyFont="1" applyFill="1">
      <alignment vertical="center"/>
    </xf>
    <xf numFmtId="169" fontId="11" fillId="0" borderId="8" xfId="22" applyFont="1" applyFill="1" applyBorder="1">
      <alignment vertical="center"/>
    </xf>
    <xf numFmtId="177" fontId="23" fillId="2" borderId="44" xfId="13" applyNumberFormat="1" applyFont="1" applyBorder="1">
      <alignment vertical="center"/>
      <protection locked="0"/>
    </xf>
    <xf numFmtId="177" fontId="23" fillId="0" borderId="0" xfId="20" applyNumberFormat="1" applyFont="1" applyFill="1">
      <alignment vertical="center"/>
    </xf>
    <xf numFmtId="167" fontId="23" fillId="2" borderId="44" xfId="13" applyFont="1" applyBorder="1">
      <alignment vertical="center"/>
      <protection locked="0"/>
    </xf>
    <xf numFmtId="169" fontId="11" fillId="0" borderId="7" xfId="22" applyFont="1" applyFill="1" applyBorder="1">
      <alignment vertical="center"/>
    </xf>
    <xf numFmtId="171" fontId="23" fillId="0" borderId="0" xfId="0" applyNumberFormat="1" applyFont="1" applyFill="1">
      <alignment vertical="center"/>
    </xf>
    <xf numFmtId="171" fontId="11" fillId="0" borderId="15" xfId="19" applyNumberFormat="1" applyFont="1" applyFill="1" applyBorder="1">
      <alignment vertical="center"/>
    </xf>
    <xf numFmtId="166" fontId="11" fillId="0" borderId="15" xfId="19" applyFont="1" applyFill="1" applyBorder="1">
      <alignment vertical="center"/>
    </xf>
    <xf numFmtId="0" fontId="0" fillId="0" borderId="60" xfId="0" applyBorder="1">
      <alignment vertical="center"/>
    </xf>
    <xf numFmtId="0" fontId="0" fillId="0" borderId="0" xfId="0"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179" fontId="11" fillId="0" borderId="0" xfId="864" applyNumberFormat="1" applyFont="1" applyAlignment="1">
      <alignment horizontal="center" vertical="center" wrapText="1"/>
    </xf>
    <xf numFmtId="9" fontId="11" fillId="0" borderId="0" xfId="865" applyFont="1" applyAlignment="1">
      <alignment vertical="center"/>
    </xf>
    <xf numFmtId="9" fontId="0" fillId="0" borderId="0" xfId="0" applyNumberFormat="1">
      <alignment vertical="center"/>
    </xf>
    <xf numFmtId="179" fontId="11" fillId="0" borderId="0" xfId="0" applyNumberFormat="1" applyFont="1" applyBorder="1">
      <alignment vertical="center"/>
    </xf>
    <xf numFmtId="9" fontId="11" fillId="10" borderId="6" xfId="865" applyFont="1" applyFill="1" applyBorder="1" applyAlignment="1">
      <alignment vertical="center"/>
    </xf>
    <xf numFmtId="0" fontId="11" fillId="10" borderId="65"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0" fillId="10" borderId="67" xfId="0" applyFill="1" applyBorder="1" applyAlignment="1">
      <alignment vertical="center" wrapText="1"/>
    </xf>
    <xf numFmtId="9" fontId="0" fillId="10" borderId="67" xfId="865" applyFont="1" applyFill="1" applyBorder="1" applyAlignment="1">
      <alignment vertical="center"/>
    </xf>
    <xf numFmtId="9" fontId="11" fillId="10" borderId="68" xfId="865" applyFont="1" applyFill="1" applyBorder="1" applyAlignment="1">
      <alignment vertical="center"/>
    </xf>
    <xf numFmtId="0" fontId="11" fillId="0" borderId="15" xfId="0" applyFont="1" applyBorder="1" applyAlignment="1">
      <alignment horizontal="center" vertical="center" wrapText="1"/>
    </xf>
    <xf numFmtId="0" fontId="0" fillId="0" borderId="67" xfId="0" applyBorder="1">
      <alignment vertical="center"/>
    </xf>
    <xf numFmtId="9" fontId="11" fillId="0" borderId="70" xfId="0" applyNumberFormat="1" applyFont="1" applyBorder="1">
      <alignment vertical="center"/>
    </xf>
    <xf numFmtId="179" fontId="11" fillId="27" borderId="6" xfId="0" applyNumberFormat="1" applyFont="1" applyFill="1" applyBorder="1">
      <alignment vertical="center"/>
    </xf>
    <xf numFmtId="179" fontId="11" fillId="10" borderId="6" xfId="0" applyNumberFormat="1" applyFont="1" applyFill="1" applyBorder="1">
      <alignment vertical="center"/>
    </xf>
    <xf numFmtId="0" fontId="0" fillId="27" borderId="67" xfId="0" applyFill="1" applyBorder="1">
      <alignment vertical="center"/>
    </xf>
    <xf numFmtId="179" fontId="0" fillId="27" borderId="67" xfId="864" applyNumberFormat="1" applyFont="1" applyFill="1" applyBorder="1" applyAlignment="1">
      <alignment vertical="center"/>
    </xf>
    <xf numFmtId="179" fontId="11" fillId="27" borderId="68" xfId="0" applyNumberFormat="1" applyFont="1" applyFill="1" applyBorder="1">
      <alignment vertical="center"/>
    </xf>
    <xf numFmtId="9" fontId="11" fillId="27" borderId="70" xfId="865" applyFont="1" applyFill="1" applyBorder="1" applyAlignment="1">
      <alignment vertical="center"/>
    </xf>
    <xf numFmtId="0" fontId="0" fillId="10" borderId="67" xfId="0" applyFill="1" applyBorder="1">
      <alignment vertical="center"/>
    </xf>
    <xf numFmtId="179" fontId="0" fillId="10" borderId="67" xfId="864" applyNumberFormat="1" applyFont="1" applyFill="1" applyBorder="1" applyAlignment="1">
      <alignment vertical="center"/>
    </xf>
    <xf numFmtId="179" fontId="11" fillId="10" borderId="68" xfId="0" applyNumberFormat="1" applyFont="1" applyFill="1" applyBorder="1">
      <alignment vertical="center"/>
    </xf>
    <xf numFmtId="9" fontId="11" fillId="10" borderId="70" xfId="865" applyFont="1" applyFill="1" applyBorder="1" applyAlignment="1">
      <alignment vertical="center"/>
    </xf>
    <xf numFmtId="179" fontId="11" fillId="0" borderId="67" xfId="864" applyNumberFormat="1" applyFont="1" applyBorder="1" applyAlignment="1">
      <alignment vertical="center"/>
    </xf>
    <xf numFmtId="179" fontId="11" fillId="0" borderId="68" xfId="864" applyNumberFormat="1" applyFont="1" applyBorder="1" applyAlignment="1">
      <alignment vertical="center"/>
    </xf>
    <xf numFmtId="0" fontId="0" fillId="27" borderId="61" xfId="0" applyFill="1" applyBorder="1">
      <alignment vertical="center"/>
    </xf>
    <xf numFmtId="0" fontId="0" fillId="27" borderId="0" xfId="0" applyFill="1" applyBorder="1">
      <alignment vertical="center"/>
    </xf>
    <xf numFmtId="0" fontId="0" fillId="10" borderId="0" xfId="0" applyFill="1" applyBorder="1">
      <alignment vertical="center"/>
    </xf>
    <xf numFmtId="179" fontId="0" fillId="27" borderId="61" xfId="864" applyNumberFormat="1" applyFont="1" applyFill="1" applyBorder="1" applyAlignment="1">
      <alignment vertical="center"/>
    </xf>
    <xf numFmtId="179" fontId="0" fillId="27" borderId="0" xfId="864" applyNumberFormat="1" applyFont="1" applyFill="1" applyBorder="1" applyAlignment="1">
      <alignment vertical="center"/>
    </xf>
    <xf numFmtId="179" fontId="0" fillId="10" borderId="0" xfId="864" applyNumberFormat="1" applyFont="1" applyFill="1" applyBorder="1" applyAlignment="1">
      <alignment vertical="center"/>
    </xf>
    <xf numFmtId="179" fontId="11" fillId="27" borderId="71" xfId="0" applyNumberFormat="1" applyFont="1" applyFill="1" applyBorder="1">
      <alignment vertical="center"/>
    </xf>
    <xf numFmtId="9" fontId="11" fillId="27" borderId="63" xfId="865" applyFont="1" applyFill="1" applyBorder="1" applyAlignment="1">
      <alignment vertical="center"/>
    </xf>
    <xf numFmtId="9" fontId="11" fillId="27" borderId="9" xfId="865" applyFont="1" applyFill="1" applyBorder="1" applyAlignment="1">
      <alignment vertical="center"/>
    </xf>
    <xf numFmtId="9" fontId="11" fillId="10" borderId="9" xfId="865" applyFont="1" applyFill="1" applyBorder="1" applyAlignment="1">
      <alignment vertical="center"/>
    </xf>
    <xf numFmtId="0" fontId="11" fillId="27" borderId="12" xfId="0" applyFont="1" applyFill="1" applyBorder="1" applyAlignment="1">
      <alignment horizontal="center" vertical="center" wrapText="1"/>
    </xf>
    <xf numFmtId="179" fontId="11" fillId="27" borderId="65" xfId="864" applyNumberFormat="1" applyFont="1" applyFill="1" applyBorder="1" applyAlignment="1">
      <alignment horizontal="center" vertical="center" wrapText="1"/>
    </xf>
    <xf numFmtId="0" fontId="11" fillId="27" borderId="15" xfId="0" applyFont="1" applyFill="1" applyBorder="1" applyAlignment="1">
      <alignment horizontal="center" vertical="center" wrapText="1"/>
    </xf>
    <xf numFmtId="0" fontId="11" fillId="0" borderId="59" xfId="0" applyFont="1" applyBorder="1">
      <alignment vertical="center"/>
    </xf>
    <xf numFmtId="0" fontId="0" fillId="0" borderId="34" xfId="0" applyBorder="1" applyAlignment="1">
      <alignment vertical="center" wrapText="1"/>
    </xf>
    <xf numFmtId="0" fontId="0" fillId="0" borderId="60" xfId="0" applyBorder="1" applyAlignment="1">
      <alignment vertical="center" wrapText="1"/>
    </xf>
    <xf numFmtId="0" fontId="10" fillId="4" borderId="1" xfId="26" applyFill="1">
      <alignment horizontal="center" vertical="center"/>
    </xf>
    <xf numFmtId="0" fontId="20" fillId="4" borderId="0" xfId="7" applyFont="1" applyFill="1">
      <alignment vertical="center"/>
    </xf>
    <xf numFmtId="184" fontId="36" fillId="0" borderId="36" xfId="6" applyNumberFormat="1" applyFont="1" applyFill="1" applyBorder="1">
      <alignment vertical="center"/>
    </xf>
    <xf numFmtId="166" fontId="36" fillId="0" borderId="36" xfId="6" applyNumberFormat="1" applyFont="1" applyFill="1" applyBorder="1">
      <alignment vertical="center"/>
    </xf>
    <xf numFmtId="166" fontId="36" fillId="0" borderId="38" xfId="6" applyNumberFormat="1" applyFont="1" applyFill="1" applyBorder="1">
      <alignment vertical="center"/>
    </xf>
    <xf numFmtId="184" fontId="19" fillId="0" borderId="3" xfId="6" applyNumberFormat="1" applyFont="1" applyFill="1" applyBorder="1">
      <alignment vertical="center"/>
    </xf>
    <xf numFmtId="166" fontId="19" fillId="0" borderId="3" xfId="6" applyNumberFormat="1" applyFont="1" applyFill="1" applyBorder="1">
      <alignment vertical="center"/>
    </xf>
    <xf numFmtId="166" fontId="36" fillId="0" borderId="3" xfId="6" applyNumberFormat="1" applyFont="1" applyFill="1" applyBorder="1">
      <alignment vertical="center"/>
    </xf>
    <xf numFmtId="166" fontId="36" fillId="0" borderId="1" xfId="6" applyNumberFormat="1" applyFont="1" applyFill="1" applyBorder="1">
      <alignment vertical="center"/>
    </xf>
    <xf numFmtId="166" fontId="23" fillId="2" borderId="57" xfId="12" applyFont="1" applyBorder="1">
      <alignment vertical="center"/>
      <protection locked="0"/>
    </xf>
    <xf numFmtId="0" fontId="23" fillId="2" borderId="40" xfId="9" applyFont="1" applyAlignment="1">
      <alignment vertical="center" wrapText="1"/>
      <protection locked="0"/>
    </xf>
    <xf numFmtId="0" fontId="23" fillId="2" borderId="50" xfId="9" applyFont="1" applyBorder="1" applyAlignment="1">
      <alignment vertical="center" wrapText="1"/>
      <protection locked="0"/>
    </xf>
    <xf numFmtId="0" fontId="24" fillId="0" borderId="0" xfId="16" applyFont="1" applyFill="1" applyAlignment="1">
      <alignment horizontal="center" vertical="center" wrapText="1"/>
      <protection locked="0"/>
    </xf>
    <xf numFmtId="166" fontId="23" fillId="2" borderId="40" xfId="12" applyFont="1" applyAlignment="1">
      <alignment vertical="center" wrapText="1"/>
      <protection locked="0"/>
    </xf>
    <xf numFmtId="166" fontId="23" fillId="2" borderId="50" xfId="12" applyFont="1" applyBorder="1" applyAlignment="1">
      <alignment vertical="center" wrapText="1"/>
      <protection locked="0"/>
    </xf>
    <xf numFmtId="166" fontId="25" fillId="0" borderId="0" xfId="19" applyFont="1" applyFill="1" applyAlignment="1">
      <alignment vertical="center" wrapText="1"/>
    </xf>
    <xf numFmtId="166" fontId="10" fillId="0" borderId="0" xfId="19" applyFill="1" applyAlignment="1">
      <alignment vertical="center" wrapText="1"/>
    </xf>
    <xf numFmtId="175" fontId="10" fillId="0" borderId="0" xfId="22" applyNumberFormat="1" applyFill="1" applyAlignment="1">
      <alignment vertical="center" wrapText="1"/>
    </xf>
    <xf numFmtId="171" fontId="0" fillId="2" borderId="40" xfId="12" applyNumberFormat="1" applyFont="1">
      <alignment vertical="center"/>
      <protection locked="0"/>
    </xf>
    <xf numFmtId="0" fontId="13" fillId="0" borderId="0" xfId="29">
      <alignment horizontal="center" vertical="center"/>
    </xf>
    <xf numFmtId="0" fontId="11" fillId="0" borderId="0" xfId="0" applyFont="1" applyBorder="1" applyAlignment="1">
      <alignment horizontal="center" vertical="center"/>
    </xf>
    <xf numFmtId="0" fontId="30" fillId="0" borderId="0" xfId="7" applyFont="1" applyFill="1">
      <alignment vertical="center"/>
    </xf>
    <xf numFmtId="0" fontId="34" fillId="0" borderId="0" xfId="7" applyFont="1" applyFill="1">
      <alignment vertical="center"/>
    </xf>
    <xf numFmtId="0" fontId="35" fillId="0" borderId="0" xfId="5" applyFont="1" applyFill="1">
      <alignment vertical="center"/>
    </xf>
    <xf numFmtId="0" fontId="23" fillId="2" borderId="42" xfId="9" applyFont="1" applyBorder="1">
      <alignment vertical="center"/>
      <protection locked="0"/>
    </xf>
    <xf numFmtId="0" fontId="19" fillId="0" borderId="0" xfId="6" applyFont="1" applyFill="1" applyAlignment="1">
      <alignment horizontal="left" vertical="center"/>
    </xf>
    <xf numFmtId="0" fontId="0" fillId="4" borderId="0" xfId="0" applyFill="1">
      <alignment vertical="center"/>
    </xf>
    <xf numFmtId="166" fontId="10" fillId="0" borderId="8" xfId="19" applyFill="1" applyBorder="1">
      <alignment vertical="center"/>
    </xf>
    <xf numFmtId="171" fontId="37" fillId="0" borderId="0" xfId="0" applyNumberFormat="1" applyFont="1" applyFill="1">
      <alignment vertical="center"/>
    </xf>
    <xf numFmtId="169" fontId="0" fillId="0" borderId="0" xfId="22" applyFont="1" applyFill="1">
      <alignment vertical="center"/>
    </xf>
    <xf numFmtId="171" fontId="33" fillId="0" borderId="8" xfId="19" applyNumberFormat="1" applyFont="1" applyFill="1" applyBorder="1">
      <alignment vertical="center"/>
    </xf>
    <xf numFmtId="0" fontId="8" fillId="0" borderId="0" xfId="7" applyFont="1" applyFill="1" applyAlignment="1">
      <alignment horizontal="center" vertical="center"/>
    </xf>
    <xf numFmtId="178" fontId="0" fillId="0" borderId="0" xfId="22" applyNumberFormat="1" applyFont="1" applyFill="1">
      <alignment vertical="center"/>
    </xf>
    <xf numFmtId="0" fontId="42" fillId="0" borderId="0" xfId="57" applyFill="1">
      <alignment vertical="center"/>
    </xf>
    <xf numFmtId="0" fontId="119" fillId="0" borderId="0" xfId="0" applyFont="1">
      <alignment vertical="center"/>
    </xf>
    <xf numFmtId="0" fontId="120" fillId="0" borderId="0" xfId="0" applyFont="1" applyAlignment="1">
      <alignment horizontal="left"/>
    </xf>
    <xf numFmtId="0" fontId="42" fillId="0" borderId="0" xfId="57" quotePrefix="1" applyAlignment="1">
      <alignment horizontal="center"/>
    </xf>
    <xf numFmtId="0" fontId="65" fillId="0" borderId="0" xfId="129" applyAlignment="1">
      <alignment vertical="center"/>
    </xf>
    <xf numFmtId="0" fontId="121" fillId="0" borderId="0" xfId="129" applyFont="1" applyAlignment="1">
      <alignment vertical="center"/>
    </xf>
    <xf numFmtId="184" fontId="19" fillId="0" borderId="0" xfId="6" applyNumberFormat="1" applyFont="1">
      <alignment vertical="center"/>
    </xf>
    <xf numFmtId="9" fontId="11" fillId="0" borderId="0" xfId="865" applyFont="1" applyBorder="1" applyAlignment="1">
      <alignment vertical="center"/>
    </xf>
    <xf numFmtId="171" fontId="11" fillId="0" borderId="6" xfId="0" applyNumberFormat="1" applyFont="1" applyBorder="1">
      <alignment vertical="center"/>
    </xf>
    <xf numFmtId="9" fontId="11" fillId="0" borderId="6" xfId="865" applyFont="1" applyBorder="1" applyAlignment="1">
      <alignment vertical="center"/>
    </xf>
    <xf numFmtId="9" fontId="11" fillId="0" borderId="5" xfId="865" applyFont="1" applyBorder="1" applyAlignment="1">
      <alignment vertical="center"/>
    </xf>
    <xf numFmtId="0" fontId="122" fillId="0" borderId="0" xfId="2" applyFont="1">
      <alignment vertical="center"/>
    </xf>
    <xf numFmtId="171" fontId="10" fillId="0" borderId="0" xfId="19" applyNumberFormat="1" applyFill="1" applyAlignment="1">
      <alignment horizontal="center" vertical="center"/>
    </xf>
    <xf numFmtId="0" fontId="23" fillId="0" borderId="0" xfId="16" applyFont="1" applyFill="1">
      <alignment horizontal="center" vertical="center"/>
      <protection locked="0"/>
    </xf>
    <xf numFmtId="171" fontId="25" fillId="0" borderId="0" xfId="19" applyNumberFormat="1" applyFont="1" applyFill="1" applyAlignment="1">
      <alignment horizontal="center" vertical="center"/>
    </xf>
    <xf numFmtId="171" fontId="11" fillId="0" borderId="0" xfId="19" applyNumberFormat="1" applyFont="1" applyBorder="1">
      <alignment vertical="center"/>
    </xf>
    <xf numFmtId="171" fontId="11" fillId="0" borderId="6" xfId="19" applyNumberFormat="1" applyFont="1" applyBorder="1">
      <alignment vertical="center"/>
    </xf>
    <xf numFmtId="0" fontId="11" fillId="0" borderId="0" xfId="0" applyFont="1">
      <alignment vertical="center"/>
    </xf>
    <xf numFmtId="9" fontId="0" fillId="0" borderId="0" xfId="865" applyFont="1" applyAlignment="1">
      <alignment vertical="center"/>
    </xf>
    <xf numFmtId="171" fontId="11" fillId="0" borderId="7" xfId="0" applyNumberFormat="1" applyFont="1" applyBorder="1">
      <alignment vertical="center"/>
    </xf>
    <xf numFmtId="0" fontId="0" fillId="0" borderId="0" xfId="0" applyBorder="1" applyAlignment="1">
      <alignment horizontal="right" vertical="center"/>
    </xf>
    <xf numFmtId="171" fontId="0" fillId="0" borderId="0" xfId="0" applyNumberFormat="1" applyBorder="1">
      <alignment vertical="center"/>
    </xf>
    <xf numFmtId="166" fontId="0" fillId="0" borderId="0" xfId="19" applyFont="1" applyFill="1" applyBorder="1">
      <alignment vertical="center"/>
    </xf>
    <xf numFmtId="175" fontId="0" fillId="0" borderId="0" xfId="22" applyNumberFormat="1" applyFont="1" applyFill="1" applyBorder="1">
      <alignment vertical="center"/>
    </xf>
    <xf numFmtId="175" fontId="0" fillId="0" borderId="46" xfId="22" applyNumberFormat="1" applyFont="1" applyFill="1" applyBorder="1">
      <alignment vertical="center"/>
    </xf>
    <xf numFmtId="175" fontId="25" fillId="0" borderId="0" xfId="22" applyNumberFormat="1" applyFont="1" applyFill="1">
      <alignment vertical="center"/>
    </xf>
    <xf numFmtId="0" fontId="23" fillId="2" borderId="45" xfId="9" applyFont="1" applyBorder="1">
      <alignment vertical="center"/>
      <protection locked="0"/>
    </xf>
    <xf numFmtId="0" fontId="24" fillId="0" borderId="67" xfId="16" applyFont="1" applyBorder="1">
      <alignment horizontal="center" vertical="center"/>
      <protection locked="0"/>
    </xf>
    <xf numFmtId="0" fontId="12" fillId="0" borderId="72" xfId="27" applyBorder="1">
      <alignment vertical="center"/>
    </xf>
    <xf numFmtId="171" fontId="10" fillId="4" borderId="0" xfId="19" applyNumberFormat="1" applyFill="1">
      <alignment vertical="center"/>
    </xf>
    <xf numFmtId="0" fontId="24" fillId="4" borderId="0" xfId="16" applyFont="1" applyFill="1">
      <alignment horizontal="center" vertical="center"/>
      <protection locked="0"/>
    </xf>
    <xf numFmtId="171" fontId="25" fillId="4" borderId="0" xfId="19" applyNumberFormat="1" applyFont="1" applyFill="1">
      <alignment vertical="center"/>
    </xf>
    <xf numFmtId="0" fontId="9" fillId="4" borderId="0" xfId="7" applyFill="1">
      <alignment vertical="center"/>
    </xf>
    <xf numFmtId="0" fontId="6" fillId="0" borderId="0" xfId="4" applyFill="1">
      <alignment vertical="center"/>
    </xf>
    <xf numFmtId="0" fontId="11" fillId="0" borderId="0" xfId="0" applyFont="1" applyBorder="1" applyAlignment="1">
      <alignment horizontal="right" vertical="center"/>
    </xf>
    <xf numFmtId="0" fontId="123" fillId="0" borderId="73" xfId="0" applyFont="1" applyBorder="1" applyAlignment="1">
      <alignment horizontal="center" vertical="center" wrapText="1"/>
    </xf>
    <xf numFmtId="9" fontId="125" fillId="0" borderId="0" xfId="865" applyFont="1" applyAlignment="1">
      <alignment vertical="center"/>
    </xf>
    <xf numFmtId="0" fontId="125" fillId="0" borderId="0" xfId="0" applyFont="1" applyBorder="1">
      <alignment vertical="center"/>
    </xf>
    <xf numFmtId="0" fontId="125" fillId="0" borderId="0" xfId="0" applyFont="1">
      <alignment vertical="center"/>
    </xf>
    <xf numFmtId="0" fontId="24" fillId="0" borderId="0" xfId="16" applyFont="1" applyBorder="1">
      <alignment horizontal="center" vertical="center"/>
      <protection locked="0"/>
    </xf>
    <xf numFmtId="9" fontId="126" fillId="0" borderId="5" xfId="865" applyFont="1" applyBorder="1" applyAlignment="1">
      <alignment vertical="center"/>
    </xf>
    <xf numFmtId="9" fontId="126" fillId="0" borderId="0" xfId="865" applyFont="1" applyBorder="1" applyAlignment="1">
      <alignment vertical="center"/>
    </xf>
    <xf numFmtId="9" fontId="126" fillId="0" borderId="6" xfId="865" applyFont="1" applyBorder="1" applyAlignment="1">
      <alignment vertical="center"/>
    </xf>
    <xf numFmtId="0" fontId="127" fillId="0" borderId="0" xfId="0" applyFont="1" applyBorder="1">
      <alignment vertical="center"/>
    </xf>
    <xf numFmtId="2" fontId="125" fillId="0" borderId="0" xfId="864" applyNumberFormat="1" applyFont="1" applyAlignment="1">
      <alignment vertical="center"/>
    </xf>
    <xf numFmtId="2" fontId="128" fillId="0" borderId="0" xfId="864" applyNumberFormat="1" applyFont="1" applyAlignment="1">
      <alignment vertical="center"/>
    </xf>
    <xf numFmtId="2" fontId="0" fillId="0" borderId="0" xfId="0" applyNumberFormat="1" applyBorder="1">
      <alignment vertical="center"/>
    </xf>
    <xf numFmtId="174" fontId="11" fillId="0" borderId="0" xfId="19" applyNumberFormat="1" applyFont="1">
      <alignment vertical="center"/>
    </xf>
    <xf numFmtId="179" fontId="5" fillId="0" borderId="66" xfId="864" applyNumberFormat="1" applyFont="1" applyBorder="1" applyAlignment="1">
      <alignment horizontal="center" vertical="center"/>
    </xf>
    <xf numFmtId="43" fontId="5" fillId="0" borderId="66" xfId="864" applyFont="1" applyBorder="1" applyAlignment="1">
      <alignment horizontal="center" vertical="center"/>
    </xf>
    <xf numFmtId="0" fontId="13" fillId="0" borderId="0" xfId="29" applyAlignment="1">
      <alignment horizontal="right" vertical="center"/>
    </xf>
    <xf numFmtId="0" fontId="13" fillId="0" borderId="0" xfId="29" applyAlignment="1">
      <alignment horizontal="left" vertical="center"/>
    </xf>
    <xf numFmtId="0" fontId="10" fillId="0" borderId="0" xfId="56" applyAlignment="1">
      <alignment horizontal="center" vertical="center"/>
    </xf>
    <xf numFmtId="0" fontId="19" fillId="0" borderId="0" xfId="6" applyFont="1">
      <alignment vertical="center"/>
    </xf>
    <xf numFmtId="0" fontId="13" fillId="0" borderId="0" xfId="50" applyAlignment="1">
      <alignment horizontal="left" vertical="center"/>
    </xf>
    <xf numFmtId="0" fontId="11" fillId="13" borderId="12" xfId="0" applyFont="1" applyFill="1" applyBorder="1" applyAlignment="1">
      <alignment horizontal="center" vertical="center" wrapText="1"/>
    </xf>
    <xf numFmtId="0" fontId="11" fillId="13" borderId="74" xfId="0" applyFont="1" applyFill="1" applyBorder="1" applyAlignment="1">
      <alignment horizontal="center" vertical="center" wrapText="1"/>
    </xf>
    <xf numFmtId="0" fontId="11" fillId="0" borderId="15" xfId="0" applyFont="1" applyFill="1" applyBorder="1" applyAlignment="1">
      <alignment horizontal="center" vertical="center" wrapText="1"/>
    </xf>
    <xf numFmtId="9" fontId="11" fillId="0" borderId="7" xfId="865" applyFont="1" applyFill="1" applyBorder="1" applyAlignment="1">
      <alignment vertical="center"/>
    </xf>
    <xf numFmtId="9" fontId="11" fillId="0" borderId="76" xfId="865" applyFont="1" applyFill="1" applyBorder="1" applyAlignment="1">
      <alignment vertical="center"/>
    </xf>
    <xf numFmtId="9" fontId="11" fillId="0" borderId="69" xfId="865" applyFont="1" applyFill="1" applyBorder="1" applyAlignment="1">
      <alignment vertical="center"/>
    </xf>
    <xf numFmtId="0" fontId="11" fillId="28" borderId="12" xfId="0" applyFont="1" applyFill="1" applyBorder="1" applyAlignment="1">
      <alignment horizontal="center" vertical="center" wrapText="1"/>
    </xf>
    <xf numFmtId="0" fontId="11" fillId="28" borderId="74" xfId="0" applyFont="1" applyFill="1" applyBorder="1" applyAlignment="1">
      <alignment horizontal="center" vertical="center" wrapText="1"/>
    </xf>
    <xf numFmtId="179" fontId="11" fillId="28" borderId="65" xfId="864" applyNumberFormat="1" applyFont="1" applyFill="1" applyBorder="1" applyAlignment="1">
      <alignment horizontal="center" vertical="center" wrapText="1"/>
    </xf>
    <xf numFmtId="0" fontId="11" fillId="28" borderId="15" xfId="0" applyFont="1" applyFill="1" applyBorder="1" applyAlignment="1">
      <alignment horizontal="center" vertical="center" wrapText="1"/>
    </xf>
    <xf numFmtId="0" fontId="0" fillId="28" borderId="0" xfId="0" applyFill="1" applyAlignment="1">
      <alignment vertical="center" wrapText="1"/>
    </xf>
    <xf numFmtId="0" fontId="0" fillId="28" borderId="75" xfId="0" applyFill="1" applyBorder="1" applyAlignment="1">
      <alignment vertical="center" wrapText="1"/>
    </xf>
    <xf numFmtId="179" fontId="0" fillId="28" borderId="0" xfId="864" applyNumberFormat="1" applyFont="1" applyFill="1" applyAlignment="1">
      <alignment vertical="center" wrapText="1"/>
    </xf>
    <xf numFmtId="0" fontId="0" fillId="28" borderId="67" xfId="0" applyFill="1" applyBorder="1" applyAlignment="1">
      <alignment vertical="center" wrapText="1"/>
    </xf>
    <xf numFmtId="9" fontId="0" fillId="28" borderId="0" xfId="865" applyFont="1" applyFill="1" applyAlignment="1">
      <alignment vertical="center"/>
    </xf>
    <xf numFmtId="9" fontId="0" fillId="28" borderId="75" xfId="865" applyFont="1" applyFill="1" applyBorder="1" applyAlignment="1">
      <alignment vertical="center"/>
    </xf>
    <xf numFmtId="9" fontId="0" fillId="28" borderId="67" xfId="865" applyFont="1" applyFill="1" applyBorder="1" applyAlignment="1">
      <alignment vertical="center"/>
    </xf>
    <xf numFmtId="9" fontId="11" fillId="28" borderId="6" xfId="865" applyFont="1" applyFill="1" applyBorder="1" applyAlignment="1">
      <alignment vertical="center"/>
    </xf>
    <xf numFmtId="9" fontId="11" fillId="28" borderId="38" xfId="865" applyFont="1" applyFill="1" applyBorder="1" applyAlignment="1">
      <alignment vertical="center"/>
    </xf>
    <xf numFmtId="9" fontId="11" fillId="28" borderId="68" xfId="865" applyFont="1" applyFill="1" applyBorder="1" applyAlignment="1">
      <alignment vertical="center"/>
    </xf>
    <xf numFmtId="0" fontId="0" fillId="28" borderId="0" xfId="0" applyFill="1">
      <alignment vertical="center"/>
    </xf>
    <xf numFmtId="9" fontId="0" fillId="28" borderId="68" xfId="865" applyFont="1" applyFill="1" applyBorder="1" applyAlignment="1">
      <alignment vertical="center"/>
    </xf>
    <xf numFmtId="0" fontId="11" fillId="10" borderId="74" xfId="0" applyFont="1" applyFill="1" applyBorder="1" applyAlignment="1">
      <alignment horizontal="center" vertical="center" wrapText="1"/>
    </xf>
    <xf numFmtId="0" fontId="0" fillId="10" borderId="75" xfId="0" applyFill="1" applyBorder="1" applyAlignment="1">
      <alignment vertical="center" wrapText="1"/>
    </xf>
    <xf numFmtId="9" fontId="0" fillId="10" borderId="75" xfId="865" applyFont="1" applyFill="1" applyBorder="1" applyAlignment="1">
      <alignment vertical="center"/>
    </xf>
    <xf numFmtId="9" fontId="11" fillId="10" borderId="38" xfId="865" applyFont="1" applyFill="1" applyBorder="1" applyAlignment="1">
      <alignment vertical="center"/>
    </xf>
    <xf numFmtId="0" fontId="11" fillId="27" borderId="74" xfId="0" applyFont="1" applyFill="1" applyBorder="1" applyAlignment="1">
      <alignment horizontal="center" vertical="center" wrapText="1"/>
    </xf>
    <xf numFmtId="0" fontId="0" fillId="27" borderId="75" xfId="0" applyFill="1" applyBorder="1">
      <alignment vertical="center"/>
    </xf>
    <xf numFmtId="179" fontId="0" fillId="27" borderId="75" xfId="864" applyNumberFormat="1" applyFont="1" applyFill="1" applyBorder="1" applyAlignment="1">
      <alignment vertical="center"/>
    </xf>
    <xf numFmtId="179" fontId="11" fillId="27" borderId="38" xfId="0" applyNumberFormat="1" applyFont="1" applyFill="1" applyBorder="1">
      <alignment vertical="center"/>
    </xf>
    <xf numFmtId="9" fontId="11" fillId="27" borderId="77" xfId="865" applyFont="1" applyFill="1" applyBorder="1" applyAlignment="1">
      <alignment vertical="center"/>
    </xf>
    <xf numFmtId="0" fontId="0" fillId="10" borderId="75" xfId="0" applyFill="1" applyBorder="1">
      <alignment vertical="center"/>
    </xf>
    <xf numFmtId="179" fontId="0" fillId="10" borderId="75" xfId="864" applyNumberFormat="1" applyFont="1" applyFill="1" applyBorder="1" applyAlignment="1">
      <alignment vertical="center"/>
    </xf>
    <xf numFmtId="179" fontId="11" fillId="10" borderId="38" xfId="0" applyNumberFormat="1" applyFont="1" applyFill="1" applyBorder="1">
      <alignment vertical="center"/>
    </xf>
    <xf numFmtId="9" fontId="11" fillId="10" borderId="77" xfId="865" applyFont="1" applyFill="1" applyBorder="1" applyAlignment="1">
      <alignment vertical="center"/>
    </xf>
    <xf numFmtId="171" fontId="33" fillId="0" borderId="0" xfId="19" applyNumberFormat="1" applyFont="1">
      <alignment vertical="center"/>
    </xf>
    <xf numFmtId="166" fontId="25" fillId="0" borderId="0" xfId="19" applyFont="1">
      <alignment vertical="center"/>
    </xf>
    <xf numFmtId="166" fontId="0" fillId="0" borderId="0" xfId="0" applyNumberFormat="1">
      <alignment vertical="center"/>
    </xf>
    <xf numFmtId="166" fontId="11" fillId="0" borderId="0" xfId="0" applyNumberFormat="1" applyFont="1" applyAlignment="1">
      <alignment horizontal="center" vertical="center" wrapText="1"/>
    </xf>
    <xf numFmtId="0" fontId="11" fillId="10" borderId="12" xfId="0" applyFont="1" applyFill="1" applyBorder="1" applyAlignment="1">
      <alignment horizontal="center" vertical="center" wrapText="1"/>
    </xf>
    <xf numFmtId="0" fontId="0" fillId="10" borderId="61" xfId="0" applyFill="1" applyBorder="1">
      <alignment vertical="center"/>
    </xf>
    <xf numFmtId="179" fontId="0" fillId="10" borderId="61" xfId="864" applyNumberFormat="1" applyFont="1" applyFill="1" applyBorder="1" applyAlignment="1">
      <alignment vertical="center"/>
    </xf>
    <xf numFmtId="179" fontId="11" fillId="10" borderId="71" xfId="0" applyNumberFormat="1" applyFont="1" applyFill="1" applyBorder="1">
      <alignment vertical="center"/>
    </xf>
    <xf numFmtId="0" fontId="11" fillId="13" borderId="66" xfId="0" applyFont="1" applyFill="1" applyBorder="1" applyAlignment="1">
      <alignment horizontal="center" vertical="center" wrapText="1"/>
    </xf>
    <xf numFmtId="0" fontId="11" fillId="29" borderId="12" xfId="0" applyFont="1" applyFill="1" applyBorder="1" applyAlignment="1">
      <alignment horizontal="center" vertical="center" wrapText="1"/>
    </xf>
    <xf numFmtId="0" fontId="11" fillId="0" borderId="67" xfId="0" applyFont="1" applyFill="1" applyBorder="1" applyAlignment="1">
      <alignment horizontal="center" vertical="center"/>
    </xf>
    <xf numFmtId="0" fontId="0" fillId="0" borderId="67" xfId="0" applyFill="1" applyBorder="1">
      <alignment vertical="center"/>
    </xf>
    <xf numFmtId="9" fontId="11" fillId="0" borderId="63" xfId="865" applyFont="1" applyFill="1" applyBorder="1" applyAlignment="1">
      <alignment vertical="center"/>
    </xf>
    <xf numFmtId="9" fontId="11" fillId="0" borderId="15" xfId="865" applyFont="1" applyFill="1" applyBorder="1" applyAlignment="1">
      <alignment vertical="center"/>
    </xf>
    <xf numFmtId="0" fontId="11" fillId="0" borderId="61" xfId="0" applyFont="1" applyFill="1" applyBorder="1" applyAlignment="1">
      <alignment horizontal="center" vertical="center"/>
    </xf>
    <xf numFmtId="0" fontId="11" fillId="0" borderId="75" xfId="0" applyFont="1" applyFill="1" applyBorder="1" applyAlignment="1">
      <alignment horizontal="center" vertical="center"/>
    </xf>
    <xf numFmtId="0" fontId="11" fillId="0" borderId="62" xfId="0" applyFont="1" applyFill="1" applyBorder="1" applyAlignment="1">
      <alignment horizontal="center" vertical="center"/>
    </xf>
    <xf numFmtId="179" fontId="0" fillId="0" borderId="61" xfId="864" applyNumberFormat="1" applyFont="1" applyFill="1" applyBorder="1" applyAlignment="1">
      <alignment vertical="center"/>
    </xf>
    <xf numFmtId="179" fontId="0" fillId="0" borderId="75" xfId="864" applyNumberFormat="1" applyFont="1" applyFill="1" applyBorder="1" applyAlignment="1">
      <alignment vertical="center"/>
    </xf>
    <xf numFmtId="179" fontId="0" fillId="0" borderId="62" xfId="864" applyNumberFormat="1" applyFont="1" applyFill="1" applyBorder="1" applyAlignment="1">
      <alignment vertical="center"/>
    </xf>
    <xf numFmtId="179" fontId="0" fillId="0" borderId="67" xfId="864" applyNumberFormat="1" applyFont="1" applyFill="1" applyBorder="1" applyAlignment="1">
      <alignment vertical="center"/>
    </xf>
    <xf numFmtId="179" fontId="11" fillId="0" borderId="71" xfId="0" applyNumberFormat="1" applyFont="1" applyFill="1" applyBorder="1">
      <alignment vertical="center"/>
    </xf>
    <xf numFmtId="179" fontId="11" fillId="0" borderId="38" xfId="0" applyNumberFormat="1" applyFont="1" applyFill="1" applyBorder="1">
      <alignment vertical="center"/>
    </xf>
    <xf numFmtId="179" fontId="11" fillId="0" borderId="78" xfId="0" applyNumberFormat="1" applyFont="1" applyFill="1" applyBorder="1">
      <alignment vertical="center"/>
    </xf>
    <xf numFmtId="179" fontId="11" fillId="0" borderId="68" xfId="0" applyNumberFormat="1" applyFont="1" applyFill="1" applyBorder="1">
      <alignment vertical="center"/>
    </xf>
    <xf numFmtId="0" fontId="0" fillId="0" borderId="61" xfId="0" applyFill="1" applyBorder="1">
      <alignment vertical="center"/>
    </xf>
    <xf numFmtId="0" fontId="0" fillId="0" borderId="75" xfId="0" applyFill="1" applyBorder="1">
      <alignment vertical="center"/>
    </xf>
    <xf numFmtId="0" fontId="0" fillId="0" borderId="62" xfId="0" applyFill="1" applyBorder="1">
      <alignment vertical="center"/>
    </xf>
    <xf numFmtId="179" fontId="11" fillId="0" borderId="61" xfId="0" applyNumberFormat="1" applyFont="1" applyFill="1" applyBorder="1">
      <alignment vertical="center"/>
    </xf>
    <xf numFmtId="179" fontId="11" fillId="0" borderId="75" xfId="0" applyNumberFormat="1" applyFont="1" applyFill="1" applyBorder="1">
      <alignment vertical="center"/>
    </xf>
    <xf numFmtId="179" fontId="11" fillId="0" borderId="62" xfId="0" applyNumberFormat="1" applyFont="1" applyFill="1" applyBorder="1">
      <alignment vertical="center"/>
    </xf>
    <xf numFmtId="179" fontId="11" fillId="0" borderId="67" xfId="0" applyNumberFormat="1" applyFont="1" applyFill="1" applyBorder="1">
      <alignment vertical="center"/>
    </xf>
    <xf numFmtId="179" fontId="11" fillId="0" borderId="80" xfId="0" applyNumberFormat="1" applyFont="1" applyFill="1" applyBorder="1">
      <alignment vertical="center"/>
    </xf>
    <xf numFmtId="179" fontId="11" fillId="0" borderId="76" xfId="0" applyNumberFormat="1" applyFont="1" applyFill="1" applyBorder="1">
      <alignment vertical="center"/>
    </xf>
    <xf numFmtId="179" fontId="11" fillId="0" borderId="81" xfId="0" applyNumberFormat="1" applyFont="1" applyFill="1" applyBorder="1">
      <alignment vertical="center"/>
    </xf>
    <xf numFmtId="179" fontId="11" fillId="0" borderId="79" xfId="0" applyNumberFormat="1" applyFont="1" applyFill="1" applyBorder="1">
      <alignment vertical="center"/>
    </xf>
    <xf numFmtId="9" fontId="11" fillId="0" borderId="77" xfId="865" applyFont="1" applyFill="1" applyBorder="1" applyAlignment="1">
      <alignment vertical="center"/>
    </xf>
    <xf numFmtId="9" fontId="11" fillId="0" borderId="64" xfId="865" applyFont="1" applyFill="1" applyBorder="1" applyAlignment="1">
      <alignment vertical="center"/>
    </xf>
    <xf numFmtId="9" fontId="11" fillId="0" borderId="70" xfId="865" applyFont="1" applyFill="1" applyBorder="1" applyAlignment="1">
      <alignment vertical="center"/>
    </xf>
    <xf numFmtId="0" fontId="0" fillId="0" borderId="15" xfId="0" applyBorder="1">
      <alignment vertical="center"/>
    </xf>
    <xf numFmtId="179" fontId="11" fillId="0" borderId="12" xfId="0" applyNumberFormat="1" applyFont="1" applyFill="1" applyBorder="1">
      <alignment vertical="center"/>
    </xf>
    <xf numFmtId="179" fontId="11" fillId="0" borderId="74" xfId="0" applyNumberFormat="1" applyFont="1" applyFill="1" applyBorder="1">
      <alignment vertical="center"/>
    </xf>
    <xf numFmtId="179" fontId="11" fillId="0" borderId="65" xfId="0" applyNumberFormat="1" applyFont="1" applyFill="1" applyBorder="1">
      <alignment vertical="center"/>
    </xf>
    <xf numFmtId="179" fontId="11" fillId="0" borderId="15" xfId="0" applyNumberFormat="1" applyFont="1" applyFill="1" applyBorder="1">
      <alignment vertical="center"/>
    </xf>
    <xf numFmtId="0" fontId="0" fillId="10" borderId="61" xfId="0" applyFill="1" applyBorder="1" applyAlignment="1">
      <alignment vertical="center" wrapText="1"/>
    </xf>
    <xf numFmtId="0" fontId="0" fillId="10" borderId="0" xfId="0" applyFill="1" applyBorder="1" applyAlignment="1">
      <alignment vertical="center" wrapText="1"/>
    </xf>
    <xf numFmtId="9" fontId="0" fillId="10" borderId="61" xfId="865" applyFont="1" applyFill="1" applyBorder="1" applyAlignment="1">
      <alignment vertical="center"/>
    </xf>
    <xf numFmtId="9" fontId="0" fillId="10" borderId="0" xfId="865" applyFont="1" applyFill="1" applyBorder="1" applyAlignment="1">
      <alignment vertical="center"/>
    </xf>
    <xf numFmtId="9" fontId="11" fillId="10" borderId="71" xfId="865" applyFont="1" applyFill="1" applyBorder="1" applyAlignment="1">
      <alignment vertical="center"/>
    </xf>
    <xf numFmtId="9" fontId="11" fillId="0" borderId="82" xfId="865" applyFont="1" applyFill="1" applyBorder="1" applyAlignment="1">
      <alignment vertical="center"/>
    </xf>
    <xf numFmtId="9" fontId="11" fillId="0" borderId="83" xfId="865" applyFont="1" applyFill="1" applyBorder="1" applyAlignment="1">
      <alignment vertical="center"/>
    </xf>
    <xf numFmtId="9" fontId="11" fillId="0" borderId="5" xfId="865" applyFont="1" applyFill="1" applyBorder="1" applyAlignment="1">
      <alignment vertical="center"/>
    </xf>
    <xf numFmtId="179" fontId="11" fillId="0" borderId="82" xfId="0" applyNumberFormat="1" applyFont="1" applyFill="1" applyBorder="1">
      <alignment vertical="center"/>
    </xf>
    <xf numFmtId="179" fontId="11" fillId="0" borderId="83" xfId="0" applyNumberFormat="1" applyFont="1" applyFill="1" applyBorder="1">
      <alignment vertical="center"/>
    </xf>
    <xf numFmtId="179" fontId="11" fillId="0" borderId="84" xfId="0" applyNumberFormat="1" applyFont="1" applyFill="1" applyBorder="1">
      <alignment vertical="center"/>
    </xf>
    <xf numFmtId="179" fontId="11" fillId="0" borderId="69" xfId="0" applyNumberFormat="1" applyFont="1" applyFill="1" applyBorder="1">
      <alignment vertical="center"/>
    </xf>
    <xf numFmtId="0" fontId="0" fillId="0" borderId="12" xfId="0" applyBorder="1">
      <alignment vertical="center"/>
    </xf>
    <xf numFmtId="0" fontId="0" fillId="0" borderId="33" xfId="0" applyBorder="1">
      <alignment vertical="center"/>
    </xf>
    <xf numFmtId="0" fontId="11" fillId="0" borderId="12" xfId="0" applyFont="1" applyBorder="1" applyAlignment="1">
      <alignment horizontal="center" vertical="center" wrapText="1"/>
    </xf>
    <xf numFmtId="0" fontId="0" fillId="0" borderId="61" xfId="0" applyBorder="1" applyAlignment="1">
      <alignment vertical="center" wrapText="1"/>
    </xf>
    <xf numFmtId="9" fontId="11" fillId="0" borderId="61" xfId="0" applyNumberFormat="1" applyFont="1" applyBorder="1">
      <alignment vertical="center"/>
    </xf>
    <xf numFmtId="9" fontId="11" fillId="0" borderId="63" xfId="0" applyNumberFormat="1" applyFont="1" applyFill="1" applyBorder="1">
      <alignment vertical="center"/>
    </xf>
    <xf numFmtId="0" fontId="11" fillId="0" borderId="33" xfId="0" applyFont="1" applyBorder="1" applyAlignment="1">
      <alignment vertical="center" wrapText="1"/>
    </xf>
    <xf numFmtId="0" fontId="0" fillId="0" borderId="33" xfId="0" applyBorder="1" applyAlignment="1">
      <alignment vertical="center" wrapText="1"/>
    </xf>
    <xf numFmtId="9" fontId="11" fillId="0" borderId="33" xfId="0" applyNumberFormat="1" applyFont="1" applyBorder="1">
      <alignment vertical="center"/>
    </xf>
    <xf numFmtId="0" fontId="11" fillId="0" borderId="33" xfId="0" applyFont="1" applyBorder="1">
      <alignment vertical="center"/>
    </xf>
    <xf numFmtId="9" fontId="0" fillId="0" borderId="33" xfId="0" applyNumberFormat="1" applyBorder="1">
      <alignment vertical="center"/>
    </xf>
    <xf numFmtId="179" fontId="11" fillId="0" borderId="33" xfId="0" applyNumberFormat="1" applyFont="1" applyBorder="1">
      <alignment vertical="center"/>
    </xf>
    <xf numFmtId="179" fontId="11" fillId="0" borderId="61" xfId="864" applyNumberFormat="1" applyFont="1" applyFill="1" applyBorder="1" applyAlignment="1">
      <alignment vertical="center"/>
    </xf>
    <xf numFmtId="179" fontId="11" fillId="0" borderId="71" xfId="864" applyNumberFormat="1" applyFont="1" applyFill="1" applyBorder="1" applyAlignment="1">
      <alignment vertical="center"/>
    </xf>
    <xf numFmtId="179" fontId="11" fillId="0" borderId="71" xfId="864" applyNumberFormat="1" applyFont="1" applyBorder="1" applyAlignment="1">
      <alignment vertical="center"/>
    </xf>
    <xf numFmtId="0" fontId="11" fillId="0" borderId="12" xfId="0" applyFont="1" applyBorder="1">
      <alignment vertical="center"/>
    </xf>
    <xf numFmtId="0" fontId="0" fillId="0" borderId="65" xfId="0" applyBorder="1">
      <alignment vertical="center"/>
    </xf>
    <xf numFmtId="0" fontId="0" fillId="0" borderId="66" xfId="0" applyBorder="1">
      <alignment vertical="center"/>
    </xf>
    <xf numFmtId="0" fontId="10" fillId="0" borderId="0" xfId="56" applyAlignment="1">
      <alignment vertical="center" wrapText="1"/>
    </xf>
    <xf numFmtId="0" fontId="11" fillId="0" borderId="0" xfId="56" applyFont="1">
      <alignment vertical="center"/>
    </xf>
    <xf numFmtId="0" fontId="11" fillId="0" borderId="0" xfId="56" applyFont="1" applyAlignment="1">
      <alignment horizontal="center" vertical="center"/>
    </xf>
    <xf numFmtId="0" fontId="130" fillId="0" borderId="0" xfId="56" applyFont="1">
      <alignment vertical="center"/>
    </xf>
    <xf numFmtId="179" fontId="10" fillId="0" borderId="0" xfId="864" applyNumberFormat="1" applyAlignment="1">
      <alignment vertical="center"/>
    </xf>
    <xf numFmtId="179" fontId="10" fillId="0" borderId="0" xfId="864" applyNumberFormat="1" applyAlignment="1">
      <alignment vertical="center" wrapText="1"/>
    </xf>
    <xf numFmtId="171" fontId="25" fillId="0" borderId="0" xfId="19" applyNumberFormat="1" applyFont="1">
      <alignment vertical="center"/>
    </xf>
    <xf numFmtId="171" fontId="26" fillId="0" borderId="6" xfId="19" applyNumberFormat="1" applyFont="1" applyBorder="1">
      <alignment vertical="center"/>
    </xf>
    <xf numFmtId="178" fontId="0" fillId="0" borderId="0" xfId="22" applyNumberFormat="1" applyFont="1">
      <alignment vertical="center"/>
    </xf>
    <xf numFmtId="178" fontId="11" fillId="0" borderId="6" xfId="56" applyNumberFormat="1" applyFont="1" applyBorder="1">
      <alignment vertical="center"/>
    </xf>
    <xf numFmtId="171" fontId="0" fillId="0" borderId="0" xfId="0" applyNumberFormat="1">
      <alignment vertical="center"/>
    </xf>
    <xf numFmtId="171" fontId="11" fillId="0" borderId="0" xfId="0" applyNumberFormat="1" applyFont="1" applyBorder="1">
      <alignment vertical="center"/>
    </xf>
    <xf numFmtId="0" fontId="131" fillId="0" borderId="0" xfId="2" applyFont="1">
      <alignment vertical="center"/>
    </xf>
    <xf numFmtId="0" fontId="11" fillId="29" borderId="74" xfId="0" applyFont="1" applyFill="1" applyBorder="1" applyAlignment="1">
      <alignment horizontal="center" vertical="center" wrapText="1"/>
    </xf>
    <xf numFmtId="179" fontId="11" fillId="29" borderId="66" xfId="864" applyNumberFormat="1" applyFont="1" applyFill="1" applyBorder="1" applyAlignment="1">
      <alignment horizontal="center" vertical="center" wrapText="1"/>
    </xf>
    <xf numFmtId="0" fontId="11" fillId="30" borderId="12" xfId="0" applyFont="1" applyFill="1" applyBorder="1" applyAlignment="1">
      <alignment horizontal="center" vertical="center" wrapText="1"/>
    </xf>
    <xf numFmtId="0" fontId="11" fillId="30" borderId="74" xfId="0" applyFont="1" applyFill="1" applyBorder="1" applyAlignment="1">
      <alignment horizontal="center" vertical="center" wrapText="1"/>
    </xf>
    <xf numFmtId="0" fontId="11" fillId="30" borderId="65" xfId="0" applyFont="1" applyFill="1" applyBorder="1" applyAlignment="1">
      <alignment horizontal="center" vertical="center" wrapText="1"/>
    </xf>
    <xf numFmtId="179" fontId="132" fillId="0" borderId="6" xfId="56" applyNumberFormat="1" applyFont="1" applyBorder="1">
      <alignment vertical="center"/>
    </xf>
    <xf numFmtId="179" fontId="132" fillId="0" borderId="6" xfId="864" applyNumberFormat="1" applyFont="1" applyBorder="1" applyAlignment="1">
      <alignment vertical="center"/>
    </xf>
    <xf numFmtId="171" fontId="11" fillId="0" borderId="85" xfId="19" applyNumberFormat="1" applyFont="1" applyFill="1" applyBorder="1">
      <alignment vertical="center"/>
    </xf>
    <xf numFmtId="0" fontId="123" fillId="0" borderId="0" xfId="56" applyFont="1" applyAlignment="1">
      <alignment horizontal="center" vertical="center"/>
    </xf>
    <xf numFmtId="0" fontId="133" fillId="0" borderId="0" xfId="56" applyFont="1" applyAlignment="1">
      <alignment horizontal="center" vertical="center"/>
    </xf>
    <xf numFmtId="181" fontId="134" fillId="0" borderId="7" xfId="866" applyNumberFormat="1" applyFont="1" applyBorder="1" applyAlignment="1">
      <alignment vertical="center"/>
    </xf>
    <xf numFmtId="179" fontId="134" fillId="0" borderId="7" xfId="864" applyNumberFormat="1" applyFont="1" applyBorder="1" applyAlignment="1">
      <alignment vertical="center"/>
    </xf>
    <xf numFmtId="0" fontId="130" fillId="0" borderId="0" xfId="786" applyFont="1" applyAlignment="1">
      <alignment horizontal="center" vertical="center"/>
    </xf>
    <xf numFmtId="0" fontId="127" fillId="0" borderId="7" xfId="0" applyFont="1" applyBorder="1">
      <alignment vertical="center"/>
    </xf>
    <xf numFmtId="0" fontId="0" fillId="0" borderId="7" xfId="0" applyBorder="1">
      <alignment vertical="center"/>
    </xf>
    <xf numFmtId="9" fontId="126" fillId="0" borderId="7" xfId="865" applyFont="1" applyBorder="1" applyAlignment="1">
      <alignment vertical="center"/>
    </xf>
    <xf numFmtId="0" fontId="123" fillId="0" borderId="0" xfId="0" applyFont="1" applyBorder="1">
      <alignment vertical="center"/>
    </xf>
    <xf numFmtId="0" fontId="13" fillId="0" borderId="0" xfId="51" applyAlignment="1">
      <alignment horizontal="left" vertical="center"/>
    </xf>
    <xf numFmtId="0" fontId="13" fillId="0" borderId="0" xfId="51" applyAlignment="1">
      <alignment horizontal="right" vertical="center"/>
    </xf>
    <xf numFmtId="0" fontId="13" fillId="0" borderId="0" xfId="51">
      <alignment horizontal="center" vertical="center"/>
    </xf>
    <xf numFmtId="0" fontId="11" fillId="0" borderId="0" xfId="56" applyFont="1" applyAlignment="1">
      <alignment horizontal="right" vertical="center"/>
    </xf>
    <xf numFmtId="43" fontId="10" fillId="0" borderId="0" xfId="56" applyNumberFormat="1">
      <alignment vertical="center"/>
    </xf>
    <xf numFmtId="0" fontId="10" fillId="0" borderId="0" xfId="56" applyBorder="1">
      <alignment vertical="center"/>
    </xf>
    <xf numFmtId="0" fontId="10" fillId="0" borderId="0" xfId="56" applyBorder="1" applyAlignment="1">
      <alignment horizontal="center"/>
    </xf>
    <xf numFmtId="0" fontId="8" fillId="0" borderId="0" xfId="56" applyFont="1" applyBorder="1" applyAlignment="1">
      <alignment horizontal="center" vertical="center"/>
    </xf>
    <xf numFmtId="186" fontId="10" fillId="0" borderId="0" xfId="866" applyNumberFormat="1" applyBorder="1" applyAlignment="1">
      <alignment vertical="center"/>
    </xf>
    <xf numFmtId="179" fontId="10" fillId="0" borderId="0" xfId="864" applyNumberFormat="1" applyBorder="1" applyAlignment="1">
      <alignment vertical="center"/>
    </xf>
    <xf numFmtId="0" fontId="11" fillId="0" borderId="0" xfId="56" applyFont="1" applyAlignment="1">
      <alignment horizontal="left" vertical="center"/>
    </xf>
    <xf numFmtId="0" fontId="11" fillId="0" borderId="0" xfId="56" applyFont="1" applyBorder="1" applyAlignment="1">
      <alignment horizontal="right" vertical="center"/>
    </xf>
    <xf numFmtId="0" fontId="8" fillId="0" borderId="0" xfId="56" applyFont="1" applyBorder="1" applyAlignment="1">
      <alignment horizontal="right" vertical="center"/>
    </xf>
    <xf numFmtId="0" fontId="11" fillId="0" borderId="0" xfId="56" applyFont="1" applyBorder="1" applyAlignment="1">
      <alignment horizontal="center"/>
    </xf>
    <xf numFmtId="0" fontId="11" fillId="0" borderId="9" xfId="0" applyFont="1" applyBorder="1">
      <alignment vertical="center"/>
    </xf>
    <xf numFmtId="0" fontId="8" fillId="0" borderId="0" xfId="6">
      <alignment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0" fillId="0" borderId="34" xfId="0" applyBorder="1">
      <alignment vertical="center"/>
    </xf>
    <xf numFmtId="0" fontId="0" fillId="0" borderId="1" xfId="0" applyBorder="1">
      <alignment vertical="center"/>
    </xf>
    <xf numFmtId="0" fontId="8" fillId="0" borderId="86" xfId="6" applyBorder="1">
      <alignment vertical="center"/>
    </xf>
    <xf numFmtId="0" fontId="0" fillId="0" borderId="87" xfId="0" applyBorder="1">
      <alignment vertical="center"/>
    </xf>
    <xf numFmtId="0" fontId="8" fillId="0" borderId="89" xfId="6" applyBorder="1">
      <alignment vertical="center"/>
    </xf>
    <xf numFmtId="0" fontId="8" fillId="0" borderId="91" xfId="6" applyBorder="1">
      <alignment vertical="center"/>
    </xf>
    <xf numFmtId="0" fontId="0" fillId="0" borderId="83" xfId="0" applyBorder="1">
      <alignment vertical="center"/>
    </xf>
    <xf numFmtId="0" fontId="8" fillId="0" borderId="93" xfId="6" applyBorder="1">
      <alignment vertical="center"/>
    </xf>
    <xf numFmtId="0" fontId="0" fillId="0" borderId="38" xfId="0" applyBorder="1">
      <alignment vertical="center"/>
    </xf>
    <xf numFmtId="0" fontId="8" fillId="0" borderId="94" xfId="6" applyBorder="1">
      <alignment vertical="center"/>
    </xf>
    <xf numFmtId="0" fontId="0" fillId="0" borderId="95" xfId="0" applyBorder="1">
      <alignment vertical="center"/>
    </xf>
    <xf numFmtId="180" fontId="0" fillId="0" borderId="87" xfId="866" applyNumberFormat="1" applyFont="1" applyBorder="1" applyAlignment="1">
      <alignment vertical="center"/>
    </xf>
    <xf numFmtId="180" fontId="0" fillId="0" borderId="1" xfId="866" applyNumberFormat="1" applyFont="1" applyBorder="1" applyAlignment="1">
      <alignment vertical="center"/>
    </xf>
    <xf numFmtId="180" fontId="0" fillId="0" borderId="87" xfId="0" applyNumberFormat="1" applyBorder="1">
      <alignment vertical="center"/>
    </xf>
    <xf numFmtId="180" fontId="0" fillId="0" borderId="1" xfId="0" applyNumberFormat="1" applyBorder="1">
      <alignment vertical="center"/>
    </xf>
    <xf numFmtId="180" fontId="0" fillId="0" borderId="83" xfId="0" applyNumberFormat="1" applyBorder="1">
      <alignment vertical="center"/>
    </xf>
    <xf numFmtId="0" fontId="11" fillId="0" borderId="34" xfId="0" applyFont="1" applyBorder="1" applyAlignment="1">
      <alignment horizontal="center" vertical="center"/>
    </xf>
    <xf numFmtId="0" fontId="130" fillId="0" borderId="61" xfId="0" applyFont="1" applyBorder="1" applyAlignment="1">
      <alignment horizontal="left" vertical="center"/>
    </xf>
    <xf numFmtId="187" fontId="0" fillId="0" borderId="88" xfId="864" applyNumberFormat="1" applyFont="1" applyBorder="1" applyAlignment="1">
      <alignment vertical="center"/>
    </xf>
    <xf numFmtId="179" fontId="0" fillId="0" borderId="0" xfId="864" applyNumberFormat="1" applyFont="1" applyBorder="1" applyAlignment="1">
      <alignment vertical="center"/>
    </xf>
    <xf numFmtId="0" fontId="130" fillId="0" borderId="12" xfId="0" applyFont="1" applyBorder="1" applyAlignment="1">
      <alignment horizontal="left" vertical="center"/>
    </xf>
    <xf numFmtId="179" fontId="0" fillId="0" borderId="96" xfId="864" applyNumberFormat="1" applyFont="1" applyBorder="1" applyAlignment="1">
      <alignment vertical="center"/>
    </xf>
    <xf numFmtId="179" fontId="0" fillId="0" borderId="1" xfId="864" applyNumberFormat="1" applyFont="1" applyBorder="1" applyAlignment="1">
      <alignment vertical="center"/>
    </xf>
    <xf numFmtId="179" fontId="0" fillId="0" borderId="87" xfId="864" applyNumberFormat="1" applyFont="1" applyBorder="1" applyAlignment="1">
      <alignment vertical="center"/>
    </xf>
    <xf numFmtId="179" fontId="0" fillId="0" borderId="83" xfId="864" applyNumberFormat="1" applyFont="1" applyBorder="1" applyAlignment="1">
      <alignment vertical="center"/>
    </xf>
    <xf numFmtId="0" fontId="130" fillId="0" borderId="59" xfId="0" applyFont="1" applyBorder="1" applyAlignment="1">
      <alignment horizontal="left" vertical="center"/>
    </xf>
    <xf numFmtId="0" fontId="0" fillId="0" borderId="34" xfId="0" applyBorder="1" applyAlignment="1">
      <alignment horizontal="center" vertical="center"/>
    </xf>
    <xf numFmtId="187" fontId="0" fillId="0" borderId="90" xfId="864" applyNumberFormat="1" applyFont="1" applyBorder="1" applyAlignment="1">
      <alignment vertical="center"/>
    </xf>
    <xf numFmtId="179" fontId="0" fillId="0" borderId="90" xfId="864" applyNumberFormat="1" applyFont="1" applyBorder="1" applyAlignment="1">
      <alignment vertical="center"/>
    </xf>
    <xf numFmtId="179" fontId="0" fillId="0" borderId="92" xfId="864" applyNumberFormat="1" applyFont="1" applyBorder="1" applyAlignment="1">
      <alignment vertical="center"/>
    </xf>
    <xf numFmtId="180" fontId="0" fillId="0" borderId="38" xfId="866" applyNumberFormat="1" applyFont="1" applyBorder="1" applyAlignment="1">
      <alignment vertical="center"/>
    </xf>
    <xf numFmtId="180" fontId="0" fillId="0" borderId="38" xfId="0" applyNumberFormat="1" applyBorder="1">
      <alignment vertical="center"/>
    </xf>
    <xf numFmtId="179" fontId="0" fillId="0" borderId="38" xfId="864" applyNumberFormat="1" applyFont="1" applyBorder="1" applyAlignment="1">
      <alignment vertical="center"/>
    </xf>
    <xf numFmtId="187" fontId="0" fillId="0" borderId="97" xfId="864" applyNumberFormat="1" applyFont="1" applyBorder="1" applyAlignment="1">
      <alignment vertical="center"/>
    </xf>
    <xf numFmtId="180" fontId="0" fillId="0" borderId="95" xfId="0" applyNumberFormat="1" applyBorder="1">
      <alignment vertical="center"/>
    </xf>
    <xf numFmtId="179" fontId="0" fillId="0" borderId="95" xfId="864" applyNumberFormat="1" applyFont="1" applyBorder="1" applyAlignment="1">
      <alignment vertical="center"/>
    </xf>
    <xf numFmtId="0" fontId="122" fillId="0" borderId="59" xfId="2" applyFont="1" applyBorder="1">
      <alignment vertical="center"/>
    </xf>
    <xf numFmtId="9" fontId="11" fillId="0" borderId="62" xfId="865" applyFont="1" applyBorder="1" applyAlignment="1">
      <alignment vertical="center"/>
    </xf>
    <xf numFmtId="0" fontId="130" fillId="0" borderId="63" xfId="0" applyFont="1" applyBorder="1" applyAlignment="1">
      <alignment horizontal="left" vertical="center"/>
    </xf>
    <xf numFmtId="171" fontId="11" fillId="0" borderId="9" xfId="0" applyNumberFormat="1" applyFont="1" applyBorder="1">
      <alignment vertical="center"/>
    </xf>
    <xf numFmtId="9" fontId="11" fillId="0" borderId="64" xfId="865" applyFont="1" applyBorder="1" applyAlignment="1">
      <alignment vertical="center"/>
    </xf>
    <xf numFmtId="0" fontId="123" fillId="0" borderId="0" xfId="0" applyFont="1" applyBorder="1" applyAlignment="1">
      <alignment horizontal="right" vertical="center"/>
    </xf>
    <xf numFmtId="179" fontId="0" fillId="0" borderId="61" xfId="864" applyNumberFormat="1" applyFont="1" applyBorder="1" applyAlignment="1">
      <alignment vertical="center"/>
    </xf>
    <xf numFmtId="179" fontId="0" fillId="0" borderId="62" xfId="864" applyNumberFormat="1" applyFont="1" applyBorder="1" applyAlignment="1">
      <alignment vertical="center"/>
    </xf>
    <xf numFmtId="179" fontId="11" fillId="0" borderId="78" xfId="864" applyNumberFormat="1" applyFont="1" applyBorder="1" applyAlignment="1">
      <alignment vertical="center"/>
    </xf>
    <xf numFmtId="179" fontId="11" fillId="0" borderId="82" xfId="864" applyNumberFormat="1" applyFont="1" applyBorder="1" applyAlignment="1">
      <alignment vertical="center"/>
    </xf>
    <xf numFmtId="179" fontId="11" fillId="0" borderId="84" xfId="864" applyNumberFormat="1" applyFont="1" applyBorder="1" applyAlignment="1">
      <alignment vertical="center"/>
    </xf>
    <xf numFmtId="179" fontId="11" fillId="0" borderId="61" xfId="864" applyNumberFormat="1" applyFont="1" applyBorder="1" applyAlignment="1">
      <alignment vertical="center"/>
    </xf>
    <xf numFmtId="179" fontId="11" fillId="0" borderId="62" xfId="864" applyNumberFormat="1" applyFont="1" applyBorder="1" applyAlignment="1">
      <alignment vertical="center"/>
    </xf>
    <xf numFmtId="179" fontId="0" fillId="0" borderId="98" xfId="864" applyNumberFormat="1" applyFont="1" applyBorder="1" applyAlignment="1">
      <alignment vertical="center"/>
    </xf>
    <xf numFmtId="179" fontId="0" fillId="0" borderId="99" xfId="864" applyNumberFormat="1" applyFont="1" applyBorder="1" applyAlignment="1">
      <alignment vertical="center"/>
    </xf>
    <xf numFmtId="0" fontId="0" fillId="0" borderId="59" xfId="0" applyBorder="1">
      <alignment vertical="center"/>
    </xf>
    <xf numFmtId="167" fontId="11" fillId="0" borderId="0" xfId="0" applyNumberFormat="1" applyFont="1" applyBorder="1">
      <alignment vertical="center"/>
    </xf>
    <xf numFmtId="9" fontId="0" fillId="0" borderId="62" xfId="865" applyFont="1" applyBorder="1" applyAlignment="1">
      <alignment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23" fillId="0" borderId="67" xfId="0" applyFont="1" applyBorder="1" applyAlignment="1">
      <alignment horizontal="center" vertical="center"/>
    </xf>
    <xf numFmtId="0" fontId="137" fillId="0" borderId="70" xfId="0" applyFont="1" applyBorder="1" applyAlignment="1">
      <alignment horizontal="center" vertical="center"/>
    </xf>
    <xf numFmtId="179" fontId="136" fillId="0" borderId="100" xfId="864" applyNumberFormat="1" applyFont="1" applyBorder="1" applyAlignment="1">
      <alignment vertical="center"/>
    </xf>
    <xf numFmtId="0" fontId="138" fillId="0" borderId="0" xfId="56" applyFont="1">
      <alignment vertical="center"/>
    </xf>
    <xf numFmtId="0" fontId="139" fillId="0" borderId="0" xfId="56" applyFont="1">
      <alignment vertical="center"/>
    </xf>
    <xf numFmtId="0" fontId="140" fillId="0" borderId="0" xfId="56" applyFont="1">
      <alignment vertical="center"/>
    </xf>
    <xf numFmtId="0" fontId="141" fillId="0" borderId="0" xfId="56" applyFont="1">
      <alignment vertical="center"/>
    </xf>
    <xf numFmtId="0" fontId="142" fillId="0" borderId="0" xfId="56" applyFont="1">
      <alignment vertical="center"/>
    </xf>
    <xf numFmtId="0" fontId="132" fillId="0" borderId="0" xfId="56" applyFont="1">
      <alignment vertical="center"/>
    </xf>
    <xf numFmtId="0" fontId="143" fillId="0" borderId="0" xfId="56" applyFont="1">
      <alignment vertical="center"/>
    </xf>
    <xf numFmtId="0" fontId="144" fillId="0" borderId="0" xfId="56" applyFont="1">
      <alignment vertical="center"/>
    </xf>
    <xf numFmtId="0" fontId="145" fillId="0" borderId="0" xfId="56" applyFont="1">
      <alignment vertical="center"/>
    </xf>
    <xf numFmtId="0" fontId="136" fillId="0" borderId="0" xfId="56" applyFont="1">
      <alignment vertical="center"/>
    </xf>
    <xf numFmtId="171" fontId="10" fillId="0" borderId="0" xfId="56" applyNumberFormat="1">
      <alignment vertical="center"/>
    </xf>
    <xf numFmtId="171" fontId="11" fillId="0" borderId="0" xfId="56" applyNumberFormat="1" applyFont="1">
      <alignment vertical="center"/>
    </xf>
    <xf numFmtId="171" fontId="11" fillId="0" borderId="6" xfId="56" applyNumberFormat="1" applyFont="1" applyBorder="1">
      <alignment vertical="center"/>
    </xf>
    <xf numFmtId="171" fontId="11" fillId="0" borderId="0" xfId="56" applyNumberFormat="1" applyFont="1" applyBorder="1">
      <alignment vertical="center"/>
    </xf>
    <xf numFmtId="171" fontId="11" fillId="0" borderId="7" xfId="56" applyNumberFormat="1" applyFont="1" applyBorder="1">
      <alignment vertical="center"/>
    </xf>
    <xf numFmtId="166" fontId="11" fillId="0" borderId="0" xfId="56" applyNumberFormat="1" applyFont="1">
      <alignment vertical="center"/>
    </xf>
    <xf numFmtId="179" fontId="10" fillId="0" borderId="0" xfId="864" applyNumberFormat="1" applyBorder="1" applyAlignment="1">
      <alignment horizontal="right" vertical="center" wrapText="1"/>
    </xf>
    <xf numFmtId="0" fontId="10" fillId="0" borderId="0" xfId="56" applyAlignment="1">
      <alignment horizontal="right" vertical="center"/>
    </xf>
    <xf numFmtId="0" fontId="11" fillId="0" borderId="0" xfId="56" applyFont="1" applyAlignment="1">
      <alignment vertical="center" wrapText="1"/>
    </xf>
    <xf numFmtId="0" fontId="11" fillId="0" borderId="0" xfId="56" applyFont="1" applyAlignment="1">
      <alignment horizontal="center" vertical="center" wrapText="1"/>
    </xf>
    <xf numFmtId="0" fontId="33" fillId="2" borderId="40" xfId="9" applyFont="1" applyAlignment="1">
      <alignment horizontal="center" vertical="center"/>
      <protection locked="0"/>
    </xf>
    <xf numFmtId="0" fontId="10" fillId="0" borderId="101" xfId="56" applyBorder="1">
      <alignment vertical="center"/>
    </xf>
    <xf numFmtId="171" fontId="10" fillId="0" borderId="101" xfId="56" applyNumberFormat="1" applyBorder="1">
      <alignment vertical="center"/>
    </xf>
    <xf numFmtId="171" fontId="11" fillId="0" borderId="102" xfId="56" applyNumberFormat="1" applyFont="1" applyBorder="1">
      <alignment vertical="center"/>
    </xf>
    <xf numFmtId="171" fontId="11" fillId="0" borderId="103" xfId="56" applyNumberFormat="1" applyFont="1" applyBorder="1">
      <alignment vertical="center"/>
    </xf>
    <xf numFmtId="179" fontId="11" fillId="0" borderId="104" xfId="864" applyNumberFormat="1" applyFont="1" applyBorder="1" applyAlignment="1">
      <alignment horizontal="right" vertical="center" wrapText="1"/>
    </xf>
    <xf numFmtId="171" fontId="11" fillId="0" borderId="105" xfId="56" applyNumberFormat="1" applyFont="1" applyBorder="1">
      <alignment vertical="center"/>
    </xf>
    <xf numFmtId="179" fontId="10" fillId="0" borderId="0" xfId="56" applyNumberFormat="1">
      <alignment vertical="center"/>
    </xf>
    <xf numFmtId="171" fontId="23" fillId="2" borderId="42" xfId="12" applyNumberFormat="1" applyFont="1" applyBorder="1">
      <alignment vertical="center"/>
      <protection locked="0"/>
    </xf>
    <xf numFmtId="0" fontId="10" fillId="0" borderId="75" xfId="56" applyBorder="1">
      <alignment vertical="center"/>
    </xf>
    <xf numFmtId="179" fontId="10" fillId="0" borderId="75" xfId="56" applyNumberFormat="1" applyBorder="1">
      <alignment vertical="center"/>
    </xf>
    <xf numFmtId="171" fontId="10" fillId="0" borderId="75" xfId="56" applyNumberFormat="1" applyBorder="1">
      <alignment vertical="center"/>
    </xf>
    <xf numFmtId="171" fontId="11" fillId="0" borderId="38" xfId="56" applyNumberFormat="1" applyFont="1" applyBorder="1">
      <alignment vertical="center"/>
    </xf>
    <xf numFmtId="171" fontId="11" fillId="0" borderId="76" xfId="56" applyNumberFormat="1" applyFont="1" applyBorder="1">
      <alignment vertical="center"/>
    </xf>
    <xf numFmtId="179" fontId="11" fillId="0" borderId="106" xfId="864" applyNumberFormat="1" applyFont="1" applyBorder="1" applyAlignment="1">
      <alignment horizontal="right" vertical="center" wrapText="1"/>
    </xf>
    <xf numFmtId="0" fontId="11" fillId="0" borderId="6" xfId="56" applyFont="1" applyBorder="1" applyAlignment="1">
      <alignment horizontal="right" vertical="center"/>
    </xf>
    <xf numFmtId="0" fontId="11" fillId="0" borderId="5" xfId="56" applyFont="1" applyBorder="1" applyAlignment="1">
      <alignment horizontal="right" vertical="center"/>
    </xf>
    <xf numFmtId="0" fontId="11" fillId="0" borderId="7" xfId="56" applyFont="1" applyBorder="1" applyAlignment="1">
      <alignment horizontal="right" vertical="center"/>
    </xf>
    <xf numFmtId="0" fontId="10" fillId="31" borderId="0" xfId="56" applyFill="1">
      <alignment vertical="center"/>
    </xf>
    <xf numFmtId="0" fontId="10" fillId="31" borderId="101" xfId="56" applyFill="1" applyBorder="1">
      <alignment vertical="center"/>
    </xf>
    <xf numFmtId="0" fontId="10" fillId="31" borderId="75" xfId="56" applyFill="1" applyBorder="1">
      <alignment vertical="center"/>
    </xf>
    <xf numFmtId="179" fontId="100" fillId="0" borderId="104" xfId="864" applyNumberFormat="1" applyFont="1" applyBorder="1" applyAlignment="1">
      <alignment horizontal="right" vertical="center" wrapText="1"/>
    </xf>
    <xf numFmtId="171" fontId="100" fillId="0" borderId="105" xfId="56" applyNumberFormat="1" applyFont="1" applyBorder="1">
      <alignment vertical="center"/>
    </xf>
    <xf numFmtId="179" fontId="100" fillId="0" borderId="106" xfId="864" applyNumberFormat="1" applyFont="1" applyBorder="1" applyAlignment="1">
      <alignment horizontal="right" vertical="center" wrapText="1"/>
    </xf>
    <xf numFmtId="179" fontId="10" fillId="0" borderId="95" xfId="56" applyNumberFormat="1" applyBorder="1">
      <alignment vertical="center"/>
    </xf>
    <xf numFmtId="0" fontId="19" fillId="0" borderId="0" xfId="8" applyFont="1" applyFill="1">
      <alignment vertical="center"/>
      <protection locked="0"/>
    </xf>
    <xf numFmtId="165" fontId="23" fillId="0" borderId="0" xfId="18" applyFont="1">
      <alignment vertical="center"/>
    </xf>
    <xf numFmtId="171" fontId="11" fillId="0" borderId="0" xfId="19" applyNumberFormat="1" applyFont="1" applyFill="1" applyBorder="1">
      <alignment vertical="center"/>
    </xf>
    <xf numFmtId="0" fontId="147" fillId="0" borderId="0" xfId="0" quotePrefix="1" applyFont="1">
      <alignment vertical="center"/>
    </xf>
    <xf numFmtId="17" fontId="11" fillId="0" borderId="0" xfId="56" applyNumberFormat="1" applyFont="1">
      <alignment vertical="center"/>
    </xf>
    <xf numFmtId="0" fontId="42" fillId="0" borderId="0" xfId="57">
      <alignment vertical="center"/>
    </xf>
    <xf numFmtId="0" fontId="10" fillId="0" borderId="0" xfId="56" quotePrefix="1">
      <alignment vertical="center"/>
    </xf>
    <xf numFmtId="0" fontId="23" fillId="2" borderId="40" xfId="9" applyFont="1">
      <alignment vertical="center"/>
      <protection locked="0"/>
    </xf>
    <xf numFmtId="0" fontId="12" fillId="0" borderId="0" xfId="27">
      <alignment vertical="center"/>
    </xf>
    <xf numFmtId="0" fontId="16" fillId="0" borderId="0" xfId="33">
      <alignment vertical="center"/>
    </xf>
    <xf numFmtId="0" fontId="16" fillId="0" borderId="0" xfId="32" quotePrefix="1" applyAlignment="1">
      <alignment horizontal="right" vertical="center"/>
    </xf>
    <xf numFmtId="0" fontId="16" fillId="0" borderId="0" xfId="32">
      <alignment vertical="center"/>
    </xf>
    <xf numFmtId="172" fontId="14" fillId="0" borderId="0" xfId="30" applyNumberFormat="1" applyAlignment="1">
      <alignment horizontal="right" vertical="center"/>
    </xf>
    <xf numFmtId="0" fontId="14" fillId="0" borderId="0" xfId="30">
      <alignment vertical="center"/>
    </xf>
    <xf numFmtId="0" fontId="15" fillId="0" borderId="0" xfId="31" applyAlignment="1">
      <alignment horizontal="right" vertical="center"/>
    </xf>
    <xf numFmtId="0" fontId="15" fillId="0" borderId="0" xfId="31">
      <alignment vertical="center"/>
    </xf>
    <xf numFmtId="0" fontId="12" fillId="0" borderId="0" xfId="27" quotePrefix="1">
      <alignment vertical="center"/>
    </xf>
    <xf numFmtId="0" fontId="59" fillId="17" borderId="15" xfId="711">
      <alignment horizontal="center" vertical="center" wrapText="1"/>
    </xf>
    <xf numFmtId="0" fontId="11" fillId="26" borderId="0" xfId="0" applyFont="1" applyFill="1" applyBorder="1" applyAlignment="1">
      <alignment horizontal="center" vertical="center"/>
    </xf>
    <xf numFmtId="0" fontId="118" fillId="12" borderId="59" xfId="0" applyFont="1" applyFill="1" applyBorder="1" applyAlignment="1">
      <alignment horizontal="center"/>
    </xf>
    <xf numFmtId="0" fontId="118" fillId="12" borderId="34" xfId="0" applyFont="1" applyFill="1" applyBorder="1" applyAlignment="1">
      <alignment horizontal="center"/>
    </xf>
    <xf numFmtId="0" fontId="13" fillId="0" borderId="0" xfId="28" applyAlignment="1">
      <alignment horizontal="right" vertical="center"/>
    </xf>
    <xf numFmtId="0" fontId="13" fillId="0" borderId="0" xfId="28" applyAlignment="1">
      <alignment horizontal="left" vertical="center"/>
    </xf>
    <xf numFmtId="0" fontId="13" fillId="0" borderId="0" xfId="29" applyAlignment="1">
      <alignment horizontal="right" vertical="center"/>
    </xf>
    <xf numFmtId="0" fontId="13" fillId="0" borderId="0" xfId="29" applyAlignment="1">
      <alignment horizontal="left" vertical="center"/>
    </xf>
    <xf numFmtId="0" fontId="135" fillId="17" borderId="61" xfId="711" applyFont="1" applyBorder="1">
      <alignment horizontal="center" vertical="center" wrapText="1"/>
    </xf>
    <xf numFmtId="0" fontId="135" fillId="17" borderId="0" xfId="711" applyFont="1" applyBorder="1">
      <alignment horizontal="center" vertical="center" wrapText="1"/>
    </xf>
    <xf numFmtId="0" fontId="118" fillId="2" borderId="59" xfId="0" applyFont="1" applyFill="1" applyBorder="1" applyAlignment="1">
      <alignment horizontal="center"/>
    </xf>
    <xf numFmtId="0" fontId="118" fillId="2" borderId="34" xfId="0" applyFont="1" applyFill="1" applyBorder="1" applyAlignment="1">
      <alignment horizontal="center"/>
    </xf>
    <xf numFmtId="0" fontId="118" fillId="2" borderId="60" xfId="0" applyFont="1" applyFill="1" applyBorder="1" applyAlignment="1">
      <alignment horizontal="center"/>
    </xf>
    <xf numFmtId="0" fontId="3" fillId="26" borderId="0" xfId="0" applyFont="1" applyFill="1" applyBorder="1" applyAlignment="1">
      <alignment horizontal="center"/>
    </xf>
    <xf numFmtId="0" fontId="129" fillId="0" borderId="34" xfId="57" applyFont="1" applyBorder="1" applyAlignment="1">
      <alignment horizontal="center"/>
    </xf>
    <xf numFmtId="0" fontId="123" fillId="0" borderId="9" xfId="0" applyFont="1" applyBorder="1" applyAlignment="1">
      <alignment horizontal="center"/>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12" fillId="0" borderId="0" xfId="49">
      <alignment vertical="center"/>
    </xf>
    <xf numFmtId="0" fontId="11" fillId="0" borderId="0" xfId="0" applyFont="1" applyBorder="1" applyAlignment="1">
      <alignment horizontal="center" vertical="center"/>
    </xf>
    <xf numFmtId="0" fontId="13" fillId="0" borderId="0" xfId="29">
      <alignment horizontal="center" vertical="center"/>
    </xf>
    <xf numFmtId="0" fontId="19" fillId="0" borderId="12" xfId="6" applyFont="1" applyBorder="1" applyAlignment="1">
      <alignment horizontal="center" vertical="center"/>
    </xf>
    <xf numFmtId="0" fontId="19" fillId="0" borderId="65" xfId="6" applyFont="1" applyBorder="1" applyAlignment="1">
      <alignment horizontal="center" vertical="center"/>
    </xf>
    <xf numFmtId="0" fontId="19" fillId="0" borderId="66" xfId="6"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0" borderId="66" xfId="0" applyFont="1" applyBorder="1" applyAlignment="1">
      <alignment horizontal="center" vertical="center"/>
    </xf>
    <xf numFmtId="0" fontId="11" fillId="0" borderId="65" xfId="0" applyFont="1"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0" xfId="0" applyBorder="1" applyAlignment="1">
      <alignment horizontal="center" vertical="center"/>
    </xf>
    <xf numFmtId="0" fontId="0" fillId="0" borderId="62" xfId="0" applyBorder="1" applyAlignment="1">
      <alignment horizontal="center" vertical="center"/>
    </xf>
    <xf numFmtId="0" fontId="13" fillId="0" borderId="0" xfId="50" applyAlignment="1">
      <alignment horizontal="right" vertical="center"/>
    </xf>
    <xf numFmtId="0" fontId="13" fillId="0" borderId="0" xfId="50" applyAlignment="1">
      <alignment horizontal="left" vertical="center"/>
    </xf>
    <xf numFmtId="0" fontId="13" fillId="0" borderId="0" xfId="51" applyAlignment="1">
      <alignment horizontal="left" vertical="center"/>
    </xf>
    <xf numFmtId="165" fontId="27" fillId="0" borderId="0" xfId="18" applyFont="1" applyFill="1" applyAlignment="1">
      <alignment horizontal="center" vertical="center"/>
    </xf>
    <xf numFmtId="171" fontId="27" fillId="0" borderId="0" xfId="19" applyNumberFormat="1" applyFont="1" applyFill="1" applyAlignment="1">
      <alignment horizontal="center" vertical="center"/>
    </xf>
    <xf numFmtId="0" fontId="12" fillId="0" borderId="0" xfId="27" applyFill="1">
      <alignment vertical="center"/>
    </xf>
    <xf numFmtId="0" fontId="20" fillId="0" borderId="0" xfId="7" applyFont="1" applyFill="1" applyAlignment="1">
      <alignment horizontal="center" vertical="center"/>
    </xf>
    <xf numFmtId="164" fontId="23" fillId="2" borderId="41" xfId="10" applyFont="1" applyBorder="1" applyAlignment="1">
      <alignment horizontal="center" vertical="center"/>
      <protection locked="0"/>
    </xf>
    <xf numFmtId="164" fontId="23" fillId="2" borderId="42" xfId="10" applyFont="1" applyBorder="1" applyAlignment="1">
      <alignment horizontal="center" vertical="center"/>
      <protection locked="0"/>
    </xf>
    <xf numFmtId="0" fontId="23" fillId="2" borderId="41" xfId="9" applyFont="1" applyBorder="1" applyAlignment="1">
      <alignment horizontal="center" vertical="center"/>
      <protection locked="0"/>
    </xf>
    <xf numFmtId="0" fontId="23" fillId="2" borderId="42" xfId="9" applyFont="1" applyBorder="1" applyAlignment="1">
      <alignment horizontal="center" vertical="center"/>
      <protection locked="0"/>
    </xf>
    <xf numFmtId="171" fontId="23" fillId="2" borderId="41" xfId="12" applyNumberFormat="1" applyFont="1" applyBorder="1" applyAlignment="1">
      <alignment horizontal="center" vertical="center"/>
      <protection locked="0"/>
    </xf>
    <xf numFmtId="171" fontId="23" fillId="2" borderId="42" xfId="12" applyNumberFormat="1" applyFont="1" applyBorder="1" applyAlignment="1">
      <alignment horizontal="center" vertical="center"/>
      <protection locked="0"/>
    </xf>
    <xf numFmtId="0" fontId="24" fillId="0" borderId="53" xfId="16" applyFont="1" applyFill="1" applyBorder="1">
      <alignment horizontal="center" vertical="center"/>
      <protection locked="0"/>
    </xf>
    <xf numFmtId="0" fontId="19" fillId="0" borderId="43" xfId="6" applyFont="1" applyFill="1" applyBorder="1">
      <alignment vertical="center"/>
    </xf>
    <xf numFmtId="0" fontId="23" fillId="2" borderId="40" xfId="9" applyFont="1" applyAlignment="1">
      <alignment vertical="center" wrapText="1"/>
      <protection locked="0"/>
    </xf>
    <xf numFmtId="0" fontId="23" fillId="2" borderId="41" xfId="9" applyFont="1" applyBorder="1" applyAlignment="1">
      <alignment horizontal="left" vertical="center"/>
      <protection locked="0"/>
    </xf>
    <xf numFmtId="0" fontId="23" fillId="2" borderId="44" xfId="9" applyFont="1" applyBorder="1" applyAlignment="1">
      <alignment horizontal="left" vertical="center"/>
      <protection locked="0"/>
    </xf>
    <xf numFmtId="0" fontId="23" fillId="2" borderId="42" xfId="9" applyFont="1" applyBorder="1" applyAlignment="1">
      <alignment horizontal="left" vertical="center"/>
      <protection locked="0"/>
    </xf>
    <xf numFmtId="0" fontId="19" fillId="0" borderId="43" xfId="6" applyFont="1" applyFill="1" applyBorder="1" applyAlignment="1">
      <alignment horizontal="center" vertical="center"/>
    </xf>
    <xf numFmtId="0" fontId="19" fillId="0" borderId="0" xfId="8" applyFont="1" applyFill="1">
      <alignment vertical="center"/>
      <protection locked="0"/>
    </xf>
    <xf numFmtId="0" fontId="30" fillId="0" borderId="0" xfId="7" applyFont="1" applyFill="1">
      <alignment vertical="center"/>
    </xf>
    <xf numFmtId="0" fontId="19" fillId="0" borderId="0" xfId="6" applyFont="1" applyFill="1">
      <alignment vertical="center"/>
    </xf>
    <xf numFmtId="0" fontId="23" fillId="2" borderId="40" xfId="9" applyFont="1" applyAlignment="1">
      <alignment horizontal="left" vertical="center" wrapText="1"/>
      <protection locked="0"/>
    </xf>
    <xf numFmtId="0" fontId="23" fillId="2" borderId="41" xfId="9" applyFont="1" applyBorder="1">
      <alignment vertical="center"/>
      <protection locked="0"/>
    </xf>
    <xf numFmtId="0" fontId="23" fillId="2" borderId="42" xfId="9" applyFont="1" applyBorder="1">
      <alignment vertical="center"/>
      <protection locked="0"/>
    </xf>
    <xf numFmtId="0" fontId="19" fillId="0" borderId="43" xfId="6" applyFont="1" applyBorder="1">
      <alignment vertical="center"/>
    </xf>
    <xf numFmtId="0" fontId="19" fillId="0" borderId="9" xfId="6" applyFont="1" applyFill="1" applyBorder="1" applyAlignment="1">
      <alignment horizontal="center" vertical="center"/>
    </xf>
    <xf numFmtId="0" fontId="19" fillId="0" borderId="0" xfId="6" applyFont="1" applyFill="1" applyAlignment="1">
      <alignment horizontal="center" vertical="center"/>
    </xf>
    <xf numFmtId="0" fontId="12" fillId="0" borderId="0" xfId="27" applyFill="1" applyAlignment="1">
      <alignment horizontal="left" vertical="center"/>
    </xf>
    <xf numFmtId="0" fontId="12" fillId="0" borderId="0" xfId="27" applyAlignment="1">
      <alignment horizontal="left" vertical="center"/>
    </xf>
    <xf numFmtId="0" fontId="23" fillId="2" borderId="40" xfId="9" applyFont="1" applyAlignment="1">
      <alignment horizontal="left" vertical="center"/>
      <protection locked="0"/>
    </xf>
    <xf numFmtId="0" fontId="42" fillId="0" borderId="0" xfId="57" applyFill="1">
      <alignment vertical="center"/>
    </xf>
    <xf numFmtId="0" fontId="19" fillId="0" borderId="0" xfId="6" applyFont="1" applyAlignment="1">
      <alignment horizontal="center" vertical="center"/>
    </xf>
    <xf numFmtId="0" fontId="23" fillId="2" borderId="50" xfId="9" applyFont="1" applyBorder="1">
      <alignment vertical="center"/>
      <protection locked="0"/>
    </xf>
    <xf numFmtId="0" fontId="24" fillId="0" borderId="0" xfId="16" applyFont="1" applyFill="1">
      <alignment horizontal="center" vertical="center"/>
      <protection locked="0"/>
    </xf>
    <xf numFmtId="0" fontId="24" fillId="0" borderId="0" xfId="16" applyFont="1">
      <alignment horizontal="center" vertical="center"/>
      <protection locked="0"/>
    </xf>
    <xf numFmtId="0" fontId="24" fillId="0" borderId="46" xfId="16" applyFont="1" applyBorder="1">
      <alignment horizontal="center" vertical="center"/>
      <protection locked="0"/>
    </xf>
    <xf numFmtId="0" fontId="24" fillId="0" borderId="46" xfId="16" applyFont="1" applyFill="1" applyBorder="1">
      <alignment horizontal="center" vertical="center"/>
      <protection locked="0"/>
    </xf>
    <xf numFmtId="0" fontId="19" fillId="0" borderId="10" xfId="6" applyFont="1" applyFill="1" applyBorder="1">
      <alignment vertical="center"/>
    </xf>
    <xf numFmtId="0" fontId="24" fillId="0" borderId="11" xfId="16" applyFont="1" applyFill="1" applyBorder="1">
      <alignment horizontal="center" vertical="center"/>
      <protection locked="0"/>
    </xf>
    <xf numFmtId="0" fontId="24" fillId="0" borderId="11" xfId="16" applyFont="1" applyBorder="1">
      <alignment horizontal="center" vertical="center"/>
      <protection locked="0"/>
    </xf>
    <xf numFmtId="0" fontId="24" fillId="0" borderId="47" xfId="16" applyFont="1" applyBorder="1">
      <alignment horizontal="center" vertical="center"/>
      <protection locked="0"/>
    </xf>
    <xf numFmtId="0" fontId="30" fillId="0" borderId="8" xfId="6" applyFont="1" applyFill="1" applyBorder="1">
      <alignment vertical="center"/>
    </xf>
    <xf numFmtId="0" fontId="30" fillId="0" borderId="8" xfId="6" applyFont="1" applyBorder="1">
      <alignment vertical="center"/>
    </xf>
    <xf numFmtId="0" fontId="24" fillId="0" borderId="0" xfId="16" applyFont="1" applyFill="1" applyAlignment="1">
      <alignment horizontal="center" vertical="center" wrapText="1"/>
      <protection locked="0"/>
    </xf>
    <xf numFmtId="0" fontId="24" fillId="0" borderId="46" xfId="16" applyFont="1" applyFill="1" applyBorder="1" applyAlignment="1">
      <alignment horizontal="center" vertical="center" wrapText="1"/>
      <protection locked="0"/>
    </xf>
    <xf numFmtId="0" fontId="9" fillId="0" borderId="0" xfId="7" applyFill="1">
      <alignment vertical="center"/>
    </xf>
    <xf numFmtId="0" fontId="19" fillId="0" borderId="5" xfId="6" applyFont="1" applyFill="1" applyBorder="1">
      <alignment vertical="center"/>
    </xf>
    <xf numFmtId="0" fontId="33" fillId="0" borderId="2" xfId="0" applyFont="1" applyFill="1" applyBorder="1">
      <alignment vertical="center"/>
    </xf>
    <xf numFmtId="0" fontId="33" fillId="0" borderId="2" xfId="0" applyFont="1" applyBorder="1">
      <alignment vertical="center"/>
    </xf>
    <xf numFmtId="0" fontId="19" fillId="0" borderId="8" xfId="6" applyFont="1" applyFill="1" applyBorder="1">
      <alignment vertical="center"/>
    </xf>
    <xf numFmtId="0" fontId="19" fillId="0" borderId="0" xfId="6" applyFont="1" applyFill="1" applyAlignment="1">
      <alignment horizontal="center" vertical="center" wrapText="1"/>
    </xf>
    <xf numFmtId="0" fontId="19" fillId="0" borderId="43" xfId="6" applyFont="1" applyFill="1" applyBorder="1" applyAlignment="1">
      <alignment horizontal="center" vertical="center" wrapText="1"/>
    </xf>
    <xf numFmtId="166" fontId="10" fillId="0" borderId="0" xfId="19" applyFill="1">
      <alignment vertical="center"/>
    </xf>
    <xf numFmtId="166" fontId="10" fillId="0" borderId="0" xfId="19">
      <alignment vertical="center"/>
    </xf>
    <xf numFmtId="0" fontId="23" fillId="2" borderId="40" xfId="9" applyFont="1" applyAlignment="1">
      <alignment horizontal="center" vertical="center"/>
      <protection locked="0"/>
    </xf>
    <xf numFmtId="0" fontId="23" fillId="2" borderId="50" xfId="9" applyFont="1" applyBorder="1" applyAlignment="1">
      <alignment horizontal="center" vertical="center"/>
      <protection locked="0"/>
    </xf>
    <xf numFmtId="0" fontId="23" fillId="2" borderId="51" xfId="9" applyFont="1" applyBorder="1">
      <alignment vertical="center"/>
      <protection locked="0"/>
    </xf>
    <xf numFmtId="0" fontId="23" fillId="2" borderId="49" xfId="9" applyFont="1" applyBorder="1">
      <alignment vertical="center"/>
      <protection locked="0"/>
    </xf>
    <xf numFmtId="0" fontId="23" fillId="2" borderId="52" xfId="9" applyFont="1" applyBorder="1">
      <alignment vertical="center"/>
      <protection locked="0"/>
    </xf>
    <xf numFmtId="0" fontId="19" fillId="0" borderId="2" xfId="6" applyFont="1" applyFill="1" applyBorder="1">
      <alignment vertical="center"/>
    </xf>
    <xf numFmtId="0" fontId="19" fillId="0" borderId="2" xfId="6" applyFont="1" applyBorder="1">
      <alignment vertical="center"/>
    </xf>
    <xf numFmtId="0" fontId="26" fillId="0" borderId="0" xfId="0" applyFont="1" applyFill="1">
      <alignment vertical="center"/>
    </xf>
    <xf numFmtId="0" fontId="9" fillId="0" borderId="0" xfId="7">
      <alignment vertical="center"/>
    </xf>
    <xf numFmtId="166" fontId="10" fillId="0" borderId="3" xfId="19" applyFill="1" applyBorder="1" applyAlignment="1">
      <alignment horizontal="left" vertical="center"/>
    </xf>
    <xf numFmtId="166" fontId="10" fillId="0" borderId="8" xfId="19" applyFill="1" applyBorder="1" applyAlignment="1">
      <alignment horizontal="left" vertical="center"/>
    </xf>
    <xf numFmtId="166" fontId="10" fillId="0" borderId="35" xfId="19" applyFill="1" applyBorder="1" applyAlignment="1">
      <alignment horizontal="left" vertical="center"/>
    </xf>
    <xf numFmtId="0" fontId="30" fillId="0" borderId="0" xfId="6" applyFont="1" applyFill="1">
      <alignment vertical="center"/>
    </xf>
    <xf numFmtId="0" fontId="0" fillId="0" borderId="44" xfId="0" applyBorder="1">
      <alignment vertical="center"/>
    </xf>
    <xf numFmtId="0" fontId="0" fillId="0" borderId="42" xfId="0" applyBorder="1">
      <alignment vertical="center"/>
    </xf>
    <xf numFmtId="0" fontId="30" fillId="0" borderId="43" xfId="6" applyFont="1" applyFill="1" applyBorder="1" applyAlignment="1">
      <alignment horizontal="center" vertical="center" wrapText="1"/>
    </xf>
    <xf numFmtId="0" fontId="35" fillId="0" borderId="0" xfId="5" applyFont="1" applyFill="1">
      <alignment vertical="center"/>
    </xf>
    <xf numFmtId="0" fontId="30" fillId="0" borderId="43" xfId="6" applyFont="1" applyFill="1" applyBorder="1" applyAlignment="1">
      <alignment horizontal="center" vertical="center"/>
    </xf>
    <xf numFmtId="0" fontId="30" fillId="0" borderId="43" xfId="6" applyFont="1" applyFill="1" applyBorder="1">
      <alignment vertical="center"/>
    </xf>
    <xf numFmtId="0" fontId="0" fillId="2" borderId="44" xfId="0" applyFill="1" applyBorder="1">
      <alignment vertical="center"/>
    </xf>
    <xf numFmtId="0" fontId="0" fillId="2" borderId="42" xfId="0" applyFill="1" applyBorder="1">
      <alignment vertical="center"/>
    </xf>
  </cellXfs>
  <cellStyles count="867">
    <cellStyle name="# .00 Calc" xfId="819" xr:uid="{00000000-0005-0000-0000-000000000000}"/>
    <cellStyle name="# Calc" xfId="820" xr:uid="{00000000-0005-0000-0000-000001000000}"/>
    <cellStyle name="# Calc 2" xfId="815" xr:uid="{00000000-0005-0000-0000-000002000000}"/>
    <cellStyle name="# Calc0" xfId="68" xr:uid="{00000000-0005-0000-0000-000003000000}"/>
    <cellStyle name="# Input" xfId="821" xr:uid="{00000000-0005-0000-0000-000004000000}"/>
    <cellStyle name="# Input 0" xfId="71" xr:uid="{00000000-0005-0000-0000-000005000000}"/>
    <cellStyle name="# Input 2" xfId="742" xr:uid="{00000000-0005-0000-0000-000006000000}"/>
    <cellStyle name="# Linked" xfId="69" xr:uid="{00000000-0005-0000-0000-000007000000}"/>
    <cellStyle name="# Linked 2" xfId="738" xr:uid="{00000000-0005-0000-0000-000008000000}"/>
    <cellStyle name="#.00 Linked" xfId="822" xr:uid="{00000000-0005-0000-0000-000009000000}"/>
    <cellStyle name="$ Calc" xfId="823" xr:uid="{00000000-0005-0000-0000-00000A000000}"/>
    <cellStyle name="$ Calc 0" xfId="70" xr:uid="{00000000-0005-0000-0000-00000B000000}"/>
    <cellStyle name="$ Calc 2" xfId="115" xr:uid="{00000000-0005-0000-0000-00000C000000}"/>
    <cellStyle name="$ Calc TOTAL" xfId="824" xr:uid="{00000000-0005-0000-0000-00000D000000}"/>
    <cellStyle name="$ Input" xfId="67" xr:uid="{00000000-0005-0000-0000-00000E000000}"/>
    <cellStyle name="$ Input 2" xfId="754" xr:uid="{00000000-0005-0000-0000-00000F000000}"/>
    <cellStyle name="$ Linked" xfId="74" xr:uid="{00000000-0005-0000-0000-000010000000}"/>
    <cellStyle name="$ Linked 2" xfId="741" xr:uid="{00000000-0005-0000-0000-000011000000}"/>
    <cellStyle name="% Calc" xfId="825" xr:uid="{00000000-0005-0000-0000-000012000000}"/>
    <cellStyle name="% Calc (1)" xfId="73" xr:uid="{00000000-0005-0000-0000-000013000000}"/>
    <cellStyle name="% Calc (1) 2" xfId="732" xr:uid="{00000000-0005-0000-0000-000014000000}"/>
    <cellStyle name="% Calc 0" xfId="743" xr:uid="{00000000-0005-0000-0000-000015000000}"/>
    <cellStyle name="% Calc 2" xfId="863" xr:uid="{00000000-0005-0000-0000-000016000000}"/>
    <cellStyle name="% Input" xfId="72" xr:uid="{00000000-0005-0000-0000-000017000000}"/>
    <cellStyle name="% Input(1)" xfId="735" xr:uid="{00000000-0005-0000-0000-000018000000}"/>
    <cellStyle name="% Linked" xfId="826" xr:uid="{00000000-0005-0000-0000-000019000000}"/>
    <cellStyle name="% Linked 0" xfId="733" xr:uid="{00000000-0005-0000-0000-00001A000000}"/>
    <cellStyle name="% Linked 1" xfId="740" xr:uid="{00000000-0005-0000-0000-00001B000000}"/>
    <cellStyle name="Assumption Currency." xfId="15" xr:uid="{00000000-0005-0000-0000-00001C000000}"/>
    <cellStyle name="Assumption Currency. 2" xfId="768" xr:uid="{00000000-0005-0000-0000-00001D000000}"/>
    <cellStyle name="Assumption Date." xfId="11" xr:uid="{00000000-0005-0000-0000-00001E000000}"/>
    <cellStyle name="Assumption Date. 2" xfId="764" xr:uid="{00000000-0005-0000-0000-00001F000000}"/>
    <cellStyle name="Assumption Heading." xfId="9" xr:uid="{00000000-0005-0000-0000-000020000000}"/>
    <cellStyle name="Assumption Heading. 2" xfId="752" xr:uid="{00000000-0005-0000-0000-000021000000}"/>
    <cellStyle name="Assumption Multiple." xfId="14" xr:uid="{00000000-0005-0000-0000-000022000000}"/>
    <cellStyle name="Assumption Multiple. 2" xfId="767" xr:uid="{00000000-0005-0000-0000-000023000000}"/>
    <cellStyle name="Assumption Number." xfId="12" xr:uid="{00000000-0005-0000-0000-000024000000}"/>
    <cellStyle name="Assumption Number. 2" xfId="765" xr:uid="{00000000-0005-0000-0000-000025000000}"/>
    <cellStyle name="Assumption Percentage." xfId="13" xr:uid="{00000000-0005-0000-0000-000026000000}"/>
    <cellStyle name="Assumption Percentage. 2" xfId="766" xr:uid="{00000000-0005-0000-0000-000027000000}"/>
    <cellStyle name="Assumption Year." xfId="10" xr:uid="{00000000-0005-0000-0000-000028000000}"/>
    <cellStyle name="Assumption Year. 2" xfId="763" xr:uid="{00000000-0005-0000-0000-000029000000}"/>
    <cellStyle name="ATTENTION!" xfId="827" xr:uid="{00000000-0005-0000-0000-00002A000000}"/>
    <cellStyle name="Blank_Locked" xfId="828" xr:uid="{00000000-0005-0000-0000-00002B000000}"/>
    <cellStyle name="Blocked_Out" xfId="829" xr:uid="{00000000-0005-0000-0000-00002C000000}"/>
    <cellStyle name="Category" xfId="830" xr:uid="{00000000-0005-0000-0000-00002D000000}"/>
    <cellStyle name="Cell Link." xfId="16" xr:uid="{00000000-0005-0000-0000-00002E000000}"/>
    <cellStyle name="Cell Link. 2" xfId="769" xr:uid="{00000000-0005-0000-0000-00002F000000}"/>
    <cellStyle name="CNTRY" xfId="129" xr:uid="{00000000-0005-0000-0000-000030000000}"/>
    <cellStyle name="Comma" xfId="864" builtinId="3"/>
    <cellStyle name="Comma 2" xfId="713" xr:uid="{00000000-0005-0000-0000-000032000000}"/>
    <cellStyle name="Comma 7" xfId="75" hidden="1" xr:uid="{00000000-0005-0000-0000-000033000000}"/>
    <cellStyle name="Comma 7" xfId="78" hidden="1" xr:uid="{00000000-0005-0000-0000-000034000000}"/>
    <cellStyle name="Comma 7" xfId="84" hidden="1" xr:uid="{00000000-0005-0000-0000-000035000000}"/>
    <cellStyle name="Comma 7" xfId="80" hidden="1" xr:uid="{00000000-0005-0000-0000-000036000000}"/>
    <cellStyle name="Comma 7" xfId="83" hidden="1" xr:uid="{00000000-0005-0000-0000-000037000000}"/>
    <cellStyle name="Comma 7" xfId="81" hidden="1" xr:uid="{00000000-0005-0000-0000-000038000000}"/>
    <cellStyle name="Comma 7" xfId="82" hidden="1" xr:uid="{00000000-0005-0000-0000-000039000000}"/>
    <cellStyle name="Comma 7" xfId="88" hidden="1" xr:uid="{00000000-0005-0000-0000-00003A000000}"/>
    <cellStyle name="Comma 7" xfId="87" hidden="1" xr:uid="{00000000-0005-0000-0000-00003B000000}"/>
    <cellStyle name="Comma 7" xfId="89" hidden="1" xr:uid="{00000000-0005-0000-0000-00003C000000}"/>
    <cellStyle name="Comma 7" xfId="96" hidden="1" xr:uid="{00000000-0005-0000-0000-00003D000000}"/>
    <cellStyle name="Comma 7" xfId="99" hidden="1" xr:uid="{00000000-0005-0000-0000-00003E000000}"/>
    <cellStyle name="Comma 7" xfId="98" hidden="1" xr:uid="{00000000-0005-0000-0000-00003F000000}"/>
    <cellStyle name="Comma 7" xfId="100" hidden="1" xr:uid="{00000000-0005-0000-0000-000040000000}"/>
    <cellStyle name="Comma 7" xfId="101" hidden="1" xr:uid="{00000000-0005-0000-0000-000041000000}"/>
    <cellStyle name="Comma 7" xfId="102" hidden="1" xr:uid="{00000000-0005-0000-0000-000042000000}"/>
    <cellStyle name="Comma 7" xfId="103" hidden="1" xr:uid="{00000000-0005-0000-0000-000043000000}"/>
    <cellStyle name="Comma 7" xfId="108" hidden="1" xr:uid="{00000000-0005-0000-0000-000044000000}"/>
    <cellStyle name="Comma 7" xfId="105" hidden="1" xr:uid="{00000000-0005-0000-0000-000045000000}"/>
    <cellStyle name="Comma 7" xfId="114" hidden="1" xr:uid="{00000000-0005-0000-0000-000046000000}"/>
    <cellStyle name="Comma 7" xfId="117" hidden="1" xr:uid="{00000000-0005-0000-0000-000047000000}"/>
    <cellStyle name="Comma 7" xfId="116" hidden="1" xr:uid="{00000000-0005-0000-0000-000048000000}"/>
    <cellStyle name="Comma 7" xfId="122" hidden="1" xr:uid="{00000000-0005-0000-0000-000049000000}"/>
    <cellStyle name="Comma 7" xfId="121" hidden="1" xr:uid="{00000000-0005-0000-0000-00004A000000}"/>
    <cellStyle name="Comma 7" xfId="123" hidden="1" xr:uid="{00000000-0005-0000-0000-00004B000000}"/>
    <cellStyle name="Comma 7" xfId="125" hidden="1" xr:uid="{00000000-0005-0000-0000-00004C000000}"/>
    <cellStyle name="Comma 7" xfId="132" hidden="1" xr:uid="{00000000-0005-0000-0000-00004D000000}"/>
    <cellStyle name="Comma 7" xfId="133" hidden="1" xr:uid="{00000000-0005-0000-0000-00004E000000}"/>
    <cellStyle name="Comma 7" xfId="141" hidden="1" xr:uid="{00000000-0005-0000-0000-00004F000000}"/>
    <cellStyle name="Comma 7" xfId="137" hidden="1" xr:uid="{00000000-0005-0000-0000-000050000000}"/>
    <cellStyle name="Comma 7" xfId="140" hidden="1" xr:uid="{00000000-0005-0000-0000-000051000000}"/>
    <cellStyle name="Comma 7" xfId="138" hidden="1" xr:uid="{00000000-0005-0000-0000-000052000000}"/>
    <cellStyle name="Comma 7" xfId="139" hidden="1" xr:uid="{00000000-0005-0000-0000-000053000000}"/>
    <cellStyle name="Comma 7" xfId="144" hidden="1" xr:uid="{00000000-0005-0000-0000-000054000000}"/>
    <cellStyle name="Comma 7" xfId="143" hidden="1" xr:uid="{00000000-0005-0000-0000-000055000000}"/>
    <cellStyle name="Comma 7" xfId="146" hidden="1" xr:uid="{00000000-0005-0000-0000-000056000000}"/>
    <cellStyle name="Comma 7" xfId="153" hidden="1" xr:uid="{00000000-0005-0000-0000-000057000000}"/>
    <cellStyle name="Comma 7" xfId="155" hidden="1" xr:uid="{00000000-0005-0000-0000-000058000000}"/>
    <cellStyle name="Comma 7" xfId="154" hidden="1" xr:uid="{00000000-0005-0000-0000-000059000000}"/>
    <cellStyle name="Comma 7" xfId="157" hidden="1" xr:uid="{00000000-0005-0000-0000-00005A000000}"/>
    <cellStyle name="Comma 7" xfId="158" hidden="1" xr:uid="{00000000-0005-0000-0000-00005B000000}"/>
    <cellStyle name="Comma 7" xfId="159" hidden="1" xr:uid="{00000000-0005-0000-0000-00005C000000}"/>
    <cellStyle name="Comma 7" xfId="160" hidden="1" xr:uid="{00000000-0005-0000-0000-00005D000000}"/>
    <cellStyle name="Comma 7" xfId="163" hidden="1" xr:uid="{00000000-0005-0000-0000-00005E000000}"/>
    <cellStyle name="Comma 7" xfId="162" hidden="1" xr:uid="{00000000-0005-0000-0000-00005F000000}"/>
    <cellStyle name="Comma 7" xfId="170" hidden="1" xr:uid="{00000000-0005-0000-0000-000060000000}"/>
    <cellStyle name="Comma 7" xfId="173" hidden="1" xr:uid="{00000000-0005-0000-0000-000061000000}"/>
    <cellStyle name="Comma 7" xfId="172" hidden="1" xr:uid="{00000000-0005-0000-0000-000062000000}"/>
    <cellStyle name="Comma 7" xfId="177" hidden="1" xr:uid="{00000000-0005-0000-0000-000063000000}"/>
    <cellStyle name="Comma 7" xfId="175" hidden="1" xr:uid="{00000000-0005-0000-0000-000064000000}"/>
    <cellStyle name="Comma 7" xfId="179" hidden="1" xr:uid="{00000000-0005-0000-0000-000065000000}"/>
    <cellStyle name="Comma 7" xfId="183" hidden="1" xr:uid="{00000000-0005-0000-0000-000066000000}"/>
    <cellStyle name="Comma 7" xfId="188" hidden="1" xr:uid="{00000000-0005-0000-0000-000067000000}"/>
    <cellStyle name="Comma 7" xfId="189" hidden="1" xr:uid="{00000000-0005-0000-0000-000068000000}"/>
    <cellStyle name="Comma 7" xfId="197" hidden="1" xr:uid="{00000000-0005-0000-0000-000069000000}"/>
    <cellStyle name="Comma 7" xfId="193" hidden="1" xr:uid="{00000000-0005-0000-0000-00006A000000}"/>
    <cellStyle name="Comma 7" xfId="196" hidden="1" xr:uid="{00000000-0005-0000-0000-00006B000000}"/>
    <cellStyle name="Comma 7" xfId="194" hidden="1" xr:uid="{00000000-0005-0000-0000-00006C000000}"/>
    <cellStyle name="Comma 7" xfId="195" hidden="1" xr:uid="{00000000-0005-0000-0000-00006D000000}"/>
    <cellStyle name="Comma 7" xfId="199" hidden="1" xr:uid="{00000000-0005-0000-0000-00006E000000}"/>
    <cellStyle name="Comma 7" xfId="198" hidden="1" xr:uid="{00000000-0005-0000-0000-00006F000000}"/>
    <cellStyle name="Comma 7" xfId="202" hidden="1" xr:uid="{00000000-0005-0000-0000-000070000000}"/>
    <cellStyle name="Comma 7" xfId="207" hidden="1" xr:uid="{00000000-0005-0000-0000-000071000000}"/>
    <cellStyle name="Comma 7" xfId="211" hidden="1" xr:uid="{00000000-0005-0000-0000-000072000000}"/>
    <cellStyle name="Comma 7" xfId="210" hidden="1" xr:uid="{00000000-0005-0000-0000-000073000000}"/>
    <cellStyle name="Comma 7" xfId="213" hidden="1" xr:uid="{00000000-0005-0000-0000-000074000000}"/>
    <cellStyle name="Comma 7" xfId="214" hidden="1" xr:uid="{00000000-0005-0000-0000-000075000000}"/>
    <cellStyle name="Comma 7" xfId="215" hidden="1" xr:uid="{00000000-0005-0000-0000-000076000000}"/>
    <cellStyle name="Comma 7" xfId="216" hidden="1" xr:uid="{00000000-0005-0000-0000-000077000000}"/>
    <cellStyle name="Comma 7" xfId="218" hidden="1" xr:uid="{00000000-0005-0000-0000-000078000000}"/>
    <cellStyle name="Comma 7" xfId="217" hidden="1" xr:uid="{00000000-0005-0000-0000-000079000000}"/>
    <cellStyle name="Comma 7" xfId="222" hidden="1" xr:uid="{00000000-0005-0000-0000-00007A000000}"/>
    <cellStyle name="Comma 7" xfId="229" hidden="1" xr:uid="{00000000-0005-0000-0000-00007B000000}"/>
    <cellStyle name="Comma 7" xfId="228" hidden="1" xr:uid="{00000000-0005-0000-0000-00007C000000}"/>
    <cellStyle name="Comma 7" xfId="232" hidden="1" xr:uid="{00000000-0005-0000-0000-00007D000000}"/>
    <cellStyle name="Comma 7" xfId="231" hidden="1" xr:uid="{00000000-0005-0000-0000-00007E000000}"/>
    <cellStyle name="Comma 7" xfId="234" hidden="1" xr:uid="{00000000-0005-0000-0000-00007F000000}"/>
    <cellStyle name="Comma 7" xfId="236" hidden="1" xr:uid="{00000000-0005-0000-0000-000080000000}"/>
    <cellStyle name="Comma 7" xfId="238" hidden="1" xr:uid="{00000000-0005-0000-0000-000081000000}"/>
    <cellStyle name="Comma 7" xfId="241" hidden="1" xr:uid="{00000000-0005-0000-0000-000082000000}"/>
    <cellStyle name="Comma 7" xfId="248" hidden="1" xr:uid="{00000000-0005-0000-0000-000083000000}"/>
    <cellStyle name="Comma 7" xfId="244" hidden="1" xr:uid="{00000000-0005-0000-0000-000084000000}"/>
    <cellStyle name="Comma 7" xfId="247" hidden="1" xr:uid="{00000000-0005-0000-0000-000085000000}"/>
    <cellStyle name="Comma 7" xfId="245" hidden="1" xr:uid="{00000000-0005-0000-0000-000086000000}"/>
    <cellStyle name="Comma 7" xfId="246" hidden="1" xr:uid="{00000000-0005-0000-0000-000087000000}"/>
    <cellStyle name="Comma 7" xfId="250" hidden="1" xr:uid="{00000000-0005-0000-0000-000088000000}"/>
    <cellStyle name="Comma 7" xfId="249" hidden="1" xr:uid="{00000000-0005-0000-0000-000089000000}"/>
    <cellStyle name="Comma 7" xfId="252" hidden="1" xr:uid="{00000000-0005-0000-0000-00008A000000}"/>
    <cellStyle name="Comma 7" xfId="259" hidden="1" xr:uid="{00000000-0005-0000-0000-00008B000000}"/>
    <cellStyle name="Comma 7" xfId="261" hidden="1" xr:uid="{00000000-0005-0000-0000-00008C000000}"/>
    <cellStyle name="Comma 7" xfId="260" hidden="1" xr:uid="{00000000-0005-0000-0000-00008D000000}"/>
    <cellStyle name="Comma 7" xfId="265" hidden="1" xr:uid="{00000000-0005-0000-0000-00008E000000}"/>
    <cellStyle name="Comma 7" xfId="266" hidden="1" xr:uid="{00000000-0005-0000-0000-00008F000000}"/>
    <cellStyle name="Comma 7" xfId="267" hidden="1" xr:uid="{00000000-0005-0000-0000-000090000000}"/>
    <cellStyle name="Comma 7" xfId="268" hidden="1" xr:uid="{00000000-0005-0000-0000-000091000000}"/>
    <cellStyle name="Comma 7" xfId="270" hidden="1" xr:uid="{00000000-0005-0000-0000-000092000000}"/>
    <cellStyle name="Comma 7" xfId="269" hidden="1" xr:uid="{00000000-0005-0000-0000-000093000000}"/>
    <cellStyle name="Comma 7" xfId="272" hidden="1" xr:uid="{00000000-0005-0000-0000-000094000000}"/>
    <cellStyle name="Comma 7" xfId="276" hidden="1" xr:uid="{00000000-0005-0000-0000-000095000000}"/>
    <cellStyle name="Comma 7" xfId="275" hidden="1" xr:uid="{00000000-0005-0000-0000-000096000000}"/>
    <cellStyle name="Comma 7" xfId="283" hidden="1" xr:uid="{00000000-0005-0000-0000-000097000000}"/>
    <cellStyle name="Comma 7" xfId="282" hidden="1" xr:uid="{00000000-0005-0000-0000-000098000000}"/>
    <cellStyle name="Comma 7" xfId="285" hidden="1" xr:uid="{00000000-0005-0000-0000-000099000000}"/>
    <cellStyle name="Comma 7" xfId="290" hidden="1" xr:uid="{00000000-0005-0000-0000-00009A000000}"/>
    <cellStyle name="Comma 7" xfId="293" hidden="1" xr:uid="{00000000-0005-0000-0000-00009B000000}"/>
    <cellStyle name="Comma 7" xfId="295" hidden="1" xr:uid="{00000000-0005-0000-0000-00009C000000}"/>
    <cellStyle name="Comma 7" xfId="302" hidden="1" xr:uid="{00000000-0005-0000-0000-00009D000000}"/>
    <cellStyle name="Comma 7" xfId="298" hidden="1" xr:uid="{00000000-0005-0000-0000-00009E000000}"/>
    <cellStyle name="Comma 7" xfId="301" hidden="1" xr:uid="{00000000-0005-0000-0000-00009F000000}"/>
    <cellStyle name="Comma 7" xfId="299" hidden="1" xr:uid="{00000000-0005-0000-0000-0000A0000000}"/>
    <cellStyle name="Comma 7" xfId="300" hidden="1" xr:uid="{00000000-0005-0000-0000-0000A1000000}"/>
    <cellStyle name="Comma 7" xfId="305" hidden="1" xr:uid="{00000000-0005-0000-0000-0000A2000000}"/>
    <cellStyle name="Comma 7" xfId="304" hidden="1" xr:uid="{00000000-0005-0000-0000-0000A3000000}"/>
    <cellStyle name="Comma 7" xfId="307" hidden="1" xr:uid="{00000000-0005-0000-0000-0000A4000000}"/>
    <cellStyle name="Comma 7" xfId="313" hidden="1" xr:uid="{00000000-0005-0000-0000-0000A5000000}"/>
    <cellStyle name="Comma 7" xfId="316" hidden="1" xr:uid="{00000000-0005-0000-0000-0000A6000000}"/>
    <cellStyle name="Comma 7" xfId="315" hidden="1" xr:uid="{00000000-0005-0000-0000-0000A7000000}"/>
    <cellStyle name="Comma 7" xfId="318" hidden="1" xr:uid="{00000000-0005-0000-0000-0000A8000000}"/>
    <cellStyle name="Comma 7" xfId="321" hidden="1" xr:uid="{00000000-0005-0000-0000-0000A9000000}"/>
    <cellStyle name="Comma 7" xfId="323" hidden="1" xr:uid="{00000000-0005-0000-0000-0000AA000000}"/>
    <cellStyle name="Comma 7" xfId="324" hidden="1" xr:uid="{00000000-0005-0000-0000-0000AB000000}"/>
    <cellStyle name="Comma 7" xfId="326" hidden="1" xr:uid="{00000000-0005-0000-0000-0000AC000000}"/>
    <cellStyle name="Comma 7" xfId="325" hidden="1" xr:uid="{00000000-0005-0000-0000-0000AD000000}"/>
    <cellStyle name="Comma 7" xfId="327" hidden="1" xr:uid="{00000000-0005-0000-0000-0000AE000000}"/>
    <cellStyle name="Comma 7" xfId="330" hidden="1" xr:uid="{00000000-0005-0000-0000-0000AF000000}"/>
    <cellStyle name="Comma 7" xfId="329" hidden="1" xr:uid="{00000000-0005-0000-0000-0000B0000000}"/>
    <cellStyle name="Comma 7" xfId="339" hidden="1" xr:uid="{00000000-0005-0000-0000-0000B1000000}"/>
    <cellStyle name="Comma 7" xfId="337" hidden="1" xr:uid="{00000000-0005-0000-0000-0000B2000000}"/>
    <cellStyle name="Comma 7" xfId="340" hidden="1" xr:uid="{00000000-0005-0000-0000-0000B3000000}"/>
    <cellStyle name="Comma 7" xfId="343" hidden="1" xr:uid="{00000000-0005-0000-0000-0000B4000000}"/>
    <cellStyle name="Comma 7" xfId="345" hidden="1" xr:uid="{00000000-0005-0000-0000-0000B5000000}"/>
    <cellStyle name="Comma 7" xfId="346" hidden="1" xr:uid="{00000000-0005-0000-0000-0000B6000000}"/>
    <cellStyle name="Comma 7" xfId="353" hidden="1" xr:uid="{00000000-0005-0000-0000-0000B7000000}"/>
    <cellStyle name="Comma 7" xfId="348" hidden="1" xr:uid="{00000000-0005-0000-0000-0000B8000000}"/>
    <cellStyle name="Comma 7" xfId="352" hidden="1" xr:uid="{00000000-0005-0000-0000-0000B9000000}"/>
    <cellStyle name="Comma 7" xfId="350" hidden="1" xr:uid="{00000000-0005-0000-0000-0000BA000000}"/>
    <cellStyle name="Comma 7" xfId="351" hidden="1" xr:uid="{00000000-0005-0000-0000-0000BB000000}"/>
    <cellStyle name="Comma 7" xfId="356" hidden="1" xr:uid="{00000000-0005-0000-0000-0000BC000000}"/>
    <cellStyle name="Comma 7" xfId="355" hidden="1" xr:uid="{00000000-0005-0000-0000-0000BD000000}"/>
    <cellStyle name="Comma 7" xfId="357" hidden="1" xr:uid="{00000000-0005-0000-0000-0000BE000000}"/>
    <cellStyle name="Comma 7" xfId="364" hidden="1" xr:uid="{00000000-0005-0000-0000-0000BF000000}"/>
    <cellStyle name="Comma 7" xfId="367" hidden="1" xr:uid="{00000000-0005-0000-0000-0000C0000000}"/>
    <cellStyle name="Comma 7" xfId="366" hidden="1" xr:uid="{00000000-0005-0000-0000-0000C1000000}"/>
    <cellStyle name="Comma 7" xfId="370" hidden="1" xr:uid="{00000000-0005-0000-0000-0000C2000000}"/>
    <cellStyle name="Comma 7" xfId="371" hidden="1" xr:uid="{00000000-0005-0000-0000-0000C3000000}"/>
    <cellStyle name="Comma 7" xfId="374" hidden="1" xr:uid="{00000000-0005-0000-0000-0000C4000000}"/>
    <cellStyle name="Comma 7" xfId="376" hidden="1" xr:uid="{00000000-0005-0000-0000-0000C5000000}"/>
    <cellStyle name="Comma 7" xfId="378" hidden="1" xr:uid="{00000000-0005-0000-0000-0000C6000000}"/>
    <cellStyle name="Comma 7" xfId="377" hidden="1" xr:uid="{00000000-0005-0000-0000-0000C7000000}"/>
    <cellStyle name="Comma 7" xfId="379" hidden="1" xr:uid="{00000000-0005-0000-0000-0000C8000000}"/>
    <cellStyle name="Comma 7" xfId="381" hidden="1" xr:uid="{00000000-0005-0000-0000-0000C9000000}"/>
    <cellStyle name="Comma 7" xfId="380" hidden="1" xr:uid="{00000000-0005-0000-0000-0000CA000000}"/>
    <cellStyle name="Comma 7" xfId="386" hidden="1" xr:uid="{00000000-0005-0000-0000-0000CB000000}"/>
    <cellStyle name="Comma 7" xfId="383" hidden="1" xr:uid="{00000000-0005-0000-0000-0000CC000000}"/>
    <cellStyle name="Comma 7" xfId="392" hidden="1" xr:uid="{00000000-0005-0000-0000-0000CD000000}"/>
    <cellStyle name="Comma 7" xfId="396" hidden="1" xr:uid="{00000000-0005-0000-0000-0000CE000000}"/>
    <cellStyle name="Comma 7" xfId="401" hidden="1" xr:uid="{00000000-0005-0000-0000-0000CF000000}"/>
    <cellStyle name="Comma 7" xfId="402" hidden="1" xr:uid="{00000000-0005-0000-0000-0000D0000000}"/>
    <cellStyle name="Comma 7" xfId="408" hidden="1" xr:uid="{00000000-0005-0000-0000-0000D1000000}"/>
    <cellStyle name="Comma 7" xfId="404" hidden="1" xr:uid="{00000000-0005-0000-0000-0000D2000000}"/>
    <cellStyle name="Comma 7" xfId="407" hidden="1" xr:uid="{00000000-0005-0000-0000-0000D3000000}"/>
    <cellStyle name="Comma 7" xfId="405" hidden="1" xr:uid="{00000000-0005-0000-0000-0000D4000000}"/>
    <cellStyle name="Comma 7" xfId="406" hidden="1" xr:uid="{00000000-0005-0000-0000-0000D5000000}"/>
    <cellStyle name="Comma 7" xfId="410" hidden="1" xr:uid="{00000000-0005-0000-0000-0000D6000000}"/>
    <cellStyle name="Comma 7" xfId="409" hidden="1" xr:uid="{00000000-0005-0000-0000-0000D7000000}"/>
    <cellStyle name="Comma 7" xfId="413" hidden="1" xr:uid="{00000000-0005-0000-0000-0000D8000000}"/>
    <cellStyle name="Comma 7" xfId="419" hidden="1" xr:uid="{00000000-0005-0000-0000-0000D9000000}"/>
    <cellStyle name="Comma 7" xfId="422" hidden="1" xr:uid="{00000000-0005-0000-0000-0000DA000000}"/>
    <cellStyle name="Comma 7" xfId="421" hidden="1" xr:uid="{00000000-0005-0000-0000-0000DB000000}"/>
    <cellStyle name="Comma 7" xfId="424" hidden="1" xr:uid="{00000000-0005-0000-0000-0000DC000000}"/>
    <cellStyle name="Comma 7" xfId="426" hidden="1" xr:uid="{00000000-0005-0000-0000-0000DD000000}"/>
    <cellStyle name="Comma 7" xfId="428" hidden="1" xr:uid="{00000000-0005-0000-0000-0000DE000000}"/>
    <cellStyle name="Comma 7" xfId="429" hidden="1" xr:uid="{00000000-0005-0000-0000-0000DF000000}"/>
    <cellStyle name="Comma 7" xfId="434" hidden="1" xr:uid="{00000000-0005-0000-0000-0000E0000000}"/>
    <cellStyle name="Comma 7" xfId="433" hidden="1" xr:uid="{00000000-0005-0000-0000-0000E1000000}"/>
    <cellStyle name="Comma 7" xfId="435" hidden="1" xr:uid="{00000000-0005-0000-0000-0000E2000000}"/>
    <cellStyle name="Comma 7" xfId="437" hidden="1" xr:uid="{00000000-0005-0000-0000-0000E3000000}"/>
    <cellStyle name="Comma 7" xfId="436" hidden="1" xr:uid="{00000000-0005-0000-0000-0000E4000000}"/>
    <cellStyle name="Comma 7" xfId="439" hidden="1" xr:uid="{00000000-0005-0000-0000-0000E5000000}"/>
    <cellStyle name="Comma 7" xfId="438" hidden="1" xr:uid="{00000000-0005-0000-0000-0000E6000000}"/>
    <cellStyle name="Comma 7" xfId="443" hidden="1" xr:uid="{00000000-0005-0000-0000-0000E7000000}"/>
    <cellStyle name="Comma 7" xfId="450" hidden="1" xr:uid="{00000000-0005-0000-0000-0000E8000000}"/>
    <cellStyle name="Comma 7" xfId="452" hidden="1" xr:uid="{00000000-0005-0000-0000-0000E9000000}"/>
    <cellStyle name="Comma 7" xfId="454" hidden="1" xr:uid="{00000000-0005-0000-0000-0000EA000000}"/>
    <cellStyle name="Comma 7" xfId="459" hidden="1" xr:uid="{00000000-0005-0000-0000-0000EB000000}"/>
    <cellStyle name="Comma 7" xfId="455" hidden="1" xr:uid="{00000000-0005-0000-0000-0000EC000000}"/>
    <cellStyle name="Comma 7" xfId="458" hidden="1" xr:uid="{00000000-0005-0000-0000-0000ED000000}"/>
    <cellStyle name="Comma 7" xfId="456" hidden="1" xr:uid="{00000000-0005-0000-0000-0000EE000000}"/>
    <cellStyle name="Comma 7" xfId="457" hidden="1" xr:uid="{00000000-0005-0000-0000-0000EF000000}"/>
    <cellStyle name="Comma 7" xfId="462" hidden="1" xr:uid="{00000000-0005-0000-0000-0000F0000000}"/>
    <cellStyle name="Comma 7" xfId="461" hidden="1" xr:uid="{00000000-0005-0000-0000-0000F1000000}"/>
    <cellStyle name="Comma 7" xfId="463" hidden="1" xr:uid="{00000000-0005-0000-0000-0000F2000000}"/>
    <cellStyle name="Comma 7" xfId="469" hidden="1" xr:uid="{00000000-0005-0000-0000-0000F3000000}"/>
    <cellStyle name="Comma 7" xfId="473" hidden="1" xr:uid="{00000000-0005-0000-0000-0000F4000000}"/>
    <cellStyle name="Comma 7" xfId="472" hidden="1" xr:uid="{00000000-0005-0000-0000-0000F5000000}"/>
    <cellStyle name="Comma 7" xfId="475" hidden="1" xr:uid="{00000000-0005-0000-0000-0000F6000000}"/>
    <cellStyle name="Comma 7" xfId="477" hidden="1" xr:uid="{00000000-0005-0000-0000-0000F7000000}"/>
    <cellStyle name="Comma 7" xfId="479" hidden="1" xr:uid="{00000000-0005-0000-0000-0000F8000000}"/>
    <cellStyle name="Comma 7" xfId="481" hidden="1" xr:uid="{00000000-0005-0000-0000-0000F9000000}"/>
    <cellStyle name="Comma 7" xfId="485" hidden="1" xr:uid="{00000000-0005-0000-0000-0000FA000000}"/>
    <cellStyle name="Comma 7" xfId="482" hidden="1" xr:uid="{00000000-0005-0000-0000-0000FB000000}"/>
    <cellStyle name="Comma 7" xfId="487" hidden="1" xr:uid="{00000000-0005-0000-0000-0000FC000000}"/>
    <cellStyle name="Comma 7" xfId="489" hidden="1" xr:uid="{00000000-0005-0000-0000-0000FD000000}"/>
    <cellStyle name="Comma 7" xfId="488" hidden="1" xr:uid="{00000000-0005-0000-0000-0000FE000000}"/>
    <cellStyle name="Comma 7" xfId="491" hidden="1" xr:uid="{00000000-0005-0000-0000-0000FF000000}"/>
    <cellStyle name="Comma 7" xfId="490" hidden="1" xr:uid="{00000000-0005-0000-0000-000000010000}"/>
    <cellStyle name="Comma 7" xfId="493" hidden="1" xr:uid="{00000000-0005-0000-0000-000001010000}"/>
    <cellStyle name="Comma 7" xfId="502" hidden="1" xr:uid="{00000000-0005-0000-0000-000002010000}"/>
    <cellStyle name="Comma 7" xfId="506" hidden="1" xr:uid="{00000000-0005-0000-0000-000003010000}"/>
    <cellStyle name="Comma 7" xfId="508" hidden="1" xr:uid="{00000000-0005-0000-0000-000004010000}"/>
    <cellStyle name="Comma 7" xfId="515" hidden="1" xr:uid="{00000000-0005-0000-0000-000005010000}"/>
    <cellStyle name="Comma 7" xfId="511" hidden="1" xr:uid="{00000000-0005-0000-0000-000006010000}"/>
    <cellStyle name="Comma 7" xfId="514" hidden="1" xr:uid="{00000000-0005-0000-0000-000007010000}"/>
    <cellStyle name="Comma 7" xfId="512" hidden="1" xr:uid="{00000000-0005-0000-0000-000008010000}"/>
    <cellStyle name="Comma 7" xfId="513" hidden="1" xr:uid="{00000000-0005-0000-0000-000009010000}"/>
    <cellStyle name="Comma 7" xfId="517" hidden="1" xr:uid="{00000000-0005-0000-0000-00000A010000}"/>
    <cellStyle name="Comma 7" xfId="516" hidden="1" xr:uid="{00000000-0005-0000-0000-00000B010000}"/>
    <cellStyle name="Comma 7" xfId="518" hidden="1" xr:uid="{00000000-0005-0000-0000-00000C010000}"/>
    <cellStyle name="Comma 7" xfId="524" hidden="1" xr:uid="{00000000-0005-0000-0000-00000D010000}"/>
    <cellStyle name="Comma 7" xfId="527" hidden="1" xr:uid="{00000000-0005-0000-0000-00000E010000}"/>
    <cellStyle name="Comma 7" xfId="526" hidden="1" xr:uid="{00000000-0005-0000-0000-00000F010000}"/>
    <cellStyle name="Comma 7" xfId="530" hidden="1" xr:uid="{00000000-0005-0000-0000-000010010000}"/>
    <cellStyle name="Comma 7" xfId="532" hidden="1" xr:uid="{00000000-0005-0000-0000-000011010000}"/>
    <cellStyle name="Comma 7" xfId="534" hidden="1" xr:uid="{00000000-0005-0000-0000-000012010000}"/>
    <cellStyle name="Comma 7" xfId="536" hidden="1" xr:uid="{00000000-0005-0000-0000-000013010000}"/>
    <cellStyle name="Comma 7" xfId="539" hidden="1" xr:uid="{00000000-0005-0000-0000-000014010000}"/>
    <cellStyle name="Comma 7" xfId="538" hidden="1" xr:uid="{00000000-0005-0000-0000-000015010000}"/>
    <cellStyle name="Comma 7" xfId="542" hidden="1" xr:uid="{00000000-0005-0000-0000-000016010000}"/>
    <cellStyle name="Comma 7" xfId="545" hidden="1" xr:uid="{00000000-0005-0000-0000-000017010000}"/>
    <cellStyle name="Comma 7" xfId="544" hidden="1" xr:uid="{00000000-0005-0000-0000-000018010000}"/>
    <cellStyle name="Comma 7" xfId="547" hidden="1" xr:uid="{00000000-0005-0000-0000-000019010000}"/>
    <cellStyle name="Comma 7" xfId="546" hidden="1" xr:uid="{00000000-0005-0000-0000-00001A010000}"/>
    <cellStyle name="Comma 7" xfId="548" hidden="1" xr:uid="{00000000-0005-0000-0000-00001B010000}"/>
    <cellStyle name="Comma 7" xfId="557" hidden="1" xr:uid="{00000000-0005-0000-0000-00001C010000}"/>
    <cellStyle name="Comma 7" xfId="559" hidden="1" xr:uid="{00000000-0005-0000-0000-00001D010000}"/>
    <cellStyle name="Comma 7" xfId="561" hidden="1" xr:uid="{00000000-0005-0000-0000-00001E010000}"/>
    <cellStyle name="Comma 7" xfId="567" hidden="1" xr:uid="{00000000-0005-0000-0000-00001F010000}"/>
    <cellStyle name="Comma 7" xfId="562" hidden="1" xr:uid="{00000000-0005-0000-0000-000020010000}"/>
    <cellStyle name="Comma 7" xfId="566" hidden="1" xr:uid="{00000000-0005-0000-0000-000021010000}"/>
    <cellStyle name="Comma 7" xfId="564" hidden="1" xr:uid="{00000000-0005-0000-0000-000022010000}"/>
    <cellStyle name="Comma 7" xfId="565" hidden="1" xr:uid="{00000000-0005-0000-0000-000023010000}"/>
    <cellStyle name="Comma 7" xfId="569" hidden="1" xr:uid="{00000000-0005-0000-0000-000024010000}"/>
    <cellStyle name="Comma 7" xfId="568" hidden="1" xr:uid="{00000000-0005-0000-0000-000025010000}"/>
    <cellStyle name="Comma 7" xfId="570" hidden="1" xr:uid="{00000000-0005-0000-0000-000026010000}"/>
    <cellStyle name="Comma 7" xfId="574" hidden="1" xr:uid="{00000000-0005-0000-0000-000027010000}"/>
    <cellStyle name="Comma 7" xfId="578" hidden="1" xr:uid="{00000000-0005-0000-0000-000028010000}"/>
    <cellStyle name="Comma 7" xfId="577" hidden="1" xr:uid="{00000000-0005-0000-0000-000029010000}"/>
    <cellStyle name="Comma 7" xfId="580" hidden="1" xr:uid="{00000000-0005-0000-0000-00002A010000}"/>
    <cellStyle name="Comma 7" xfId="583" hidden="1" xr:uid="{00000000-0005-0000-0000-00002B010000}"/>
    <cellStyle name="Comma 7" xfId="584" hidden="1" xr:uid="{00000000-0005-0000-0000-00002C010000}"/>
    <cellStyle name="Comma 7" xfId="586" hidden="1" xr:uid="{00000000-0005-0000-0000-00002D010000}"/>
    <cellStyle name="Comma 7" xfId="590" hidden="1" xr:uid="{00000000-0005-0000-0000-00002E010000}"/>
    <cellStyle name="Comma 7" xfId="589" hidden="1" xr:uid="{00000000-0005-0000-0000-00002F010000}"/>
    <cellStyle name="Comma 7" xfId="592" hidden="1" xr:uid="{00000000-0005-0000-0000-000030010000}"/>
    <cellStyle name="Comma 7" xfId="596" hidden="1" xr:uid="{00000000-0005-0000-0000-000031010000}"/>
    <cellStyle name="Comma 7" xfId="595" hidden="1" xr:uid="{00000000-0005-0000-0000-000032010000}"/>
    <cellStyle name="Comma 7" xfId="599" hidden="1" xr:uid="{00000000-0005-0000-0000-000033010000}"/>
    <cellStyle name="Comma 7" xfId="598" hidden="1" xr:uid="{00000000-0005-0000-0000-000034010000}"/>
    <cellStyle name="Comma 7" xfId="600" hidden="1" xr:uid="{00000000-0005-0000-0000-000035010000}"/>
    <cellStyle name="Comma 7" xfId="604" hidden="1" xr:uid="{00000000-0005-0000-0000-000036010000}"/>
    <cellStyle name="Comma 7" xfId="612" hidden="1" xr:uid="{00000000-0005-0000-0000-000037010000}"/>
    <cellStyle name="Comma 7" xfId="614" hidden="1" xr:uid="{00000000-0005-0000-0000-000038010000}"/>
    <cellStyle name="Comma 7" xfId="621" hidden="1" xr:uid="{00000000-0005-0000-0000-000039010000}"/>
    <cellStyle name="Comma 7" xfId="616" hidden="1" xr:uid="{00000000-0005-0000-0000-00003A010000}"/>
    <cellStyle name="Comma 7" xfId="620" hidden="1" xr:uid="{00000000-0005-0000-0000-00003B010000}"/>
    <cellStyle name="Comma 7" xfId="617" hidden="1" xr:uid="{00000000-0005-0000-0000-00003C010000}"/>
    <cellStyle name="Comma 7" xfId="618" hidden="1" xr:uid="{00000000-0005-0000-0000-00003D010000}"/>
    <cellStyle name="Comma 7" xfId="623" hidden="1" xr:uid="{00000000-0005-0000-0000-00003E010000}"/>
    <cellStyle name="Comma 7" xfId="622" hidden="1" xr:uid="{00000000-0005-0000-0000-00003F010000}"/>
    <cellStyle name="Comma 7" xfId="624" hidden="1" xr:uid="{00000000-0005-0000-0000-000040010000}"/>
    <cellStyle name="Comma 7" xfId="629" hidden="1" xr:uid="{00000000-0005-0000-0000-000041010000}"/>
    <cellStyle name="Comma 7" xfId="632" hidden="1" xr:uid="{00000000-0005-0000-0000-000042010000}"/>
    <cellStyle name="Comma 7" xfId="631" hidden="1" xr:uid="{00000000-0005-0000-0000-000043010000}"/>
    <cellStyle name="Comma 7" xfId="635" hidden="1" xr:uid="{00000000-0005-0000-0000-000044010000}"/>
    <cellStyle name="Comma 7" xfId="637" hidden="1" xr:uid="{00000000-0005-0000-0000-000045010000}"/>
    <cellStyle name="Comma 7" xfId="638" hidden="1" xr:uid="{00000000-0005-0000-0000-000046010000}"/>
    <cellStyle name="Comma 7" xfId="641" hidden="1" xr:uid="{00000000-0005-0000-0000-000047010000}"/>
    <cellStyle name="Comma 7" xfId="644" hidden="1" xr:uid="{00000000-0005-0000-0000-000048010000}"/>
    <cellStyle name="Comma 7" xfId="643" hidden="1" xr:uid="{00000000-0005-0000-0000-000049010000}"/>
    <cellStyle name="Comma 7" xfId="646" hidden="1" xr:uid="{00000000-0005-0000-0000-00004A010000}"/>
    <cellStyle name="Comma 7" xfId="650" hidden="1" xr:uid="{00000000-0005-0000-0000-00004B010000}"/>
    <cellStyle name="Comma 7" xfId="649" hidden="1" xr:uid="{00000000-0005-0000-0000-00004C010000}"/>
    <cellStyle name="Comma 7" xfId="654" hidden="1" xr:uid="{00000000-0005-0000-0000-00004D010000}"/>
    <cellStyle name="Comma 7" xfId="651" hidden="1" xr:uid="{00000000-0005-0000-0000-00004E010000}"/>
    <cellStyle name="Comma 7" xfId="656" hidden="1" xr:uid="{00000000-0005-0000-0000-00004F010000}"/>
    <cellStyle name="Comma 7" xfId="657" hidden="1" xr:uid="{00000000-0005-0000-0000-000050010000}"/>
    <cellStyle name="Comma 7" xfId="665" hidden="1" xr:uid="{00000000-0005-0000-0000-000051010000}"/>
    <cellStyle name="Comma 7" xfId="667" hidden="1" xr:uid="{00000000-0005-0000-0000-000052010000}"/>
    <cellStyle name="Comma 7" xfId="674" hidden="1" xr:uid="{00000000-0005-0000-0000-000053010000}"/>
    <cellStyle name="Comma 7" xfId="669" hidden="1" xr:uid="{00000000-0005-0000-0000-000054010000}"/>
    <cellStyle name="Comma 7" xfId="673" hidden="1" xr:uid="{00000000-0005-0000-0000-000055010000}"/>
    <cellStyle name="Comma 7" xfId="671" hidden="1" xr:uid="{00000000-0005-0000-0000-000056010000}"/>
    <cellStyle name="Comma 7" xfId="672" hidden="1" xr:uid="{00000000-0005-0000-0000-000057010000}"/>
    <cellStyle name="Comma 7" xfId="676" hidden="1" xr:uid="{00000000-0005-0000-0000-000058010000}"/>
    <cellStyle name="Comma 7" xfId="675" hidden="1" xr:uid="{00000000-0005-0000-0000-000059010000}"/>
    <cellStyle name="Comma 7" xfId="677" hidden="1" xr:uid="{00000000-0005-0000-0000-00005A010000}"/>
    <cellStyle name="Comma 7" xfId="679" hidden="1" xr:uid="{00000000-0005-0000-0000-00005B010000}"/>
    <cellStyle name="Comma 7" xfId="682" hidden="1" xr:uid="{00000000-0005-0000-0000-00005C010000}"/>
    <cellStyle name="Comma 7" xfId="681" hidden="1" xr:uid="{00000000-0005-0000-0000-00005D010000}"/>
    <cellStyle name="Comma 7" xfId="685" hidden="1" xr:uid="{00000000-0005-0000-0000-00005E010000}"/>
    <cellStyle name="Comma 7" xfId="686" hidden="1" xr:uid="{00000000-0005-0000-0000-00005F010000}"/>
    <cellStyle name="Comma 7" xfId="688" hidden="1" xr:uid="{00000000-0005-0000-0000-000060010000}"/>
    <cellStyle name="Comma 7" xfId="690" hidden="1" xr:uid="{00000000-0005-0000-0000-000061010000}"/>
    <cellStyle name="Comma 7" xfId="693" hidden="1" xr:uid="{00000000-0005-0000-0000-000062010000}"/>
    <cellStyle name="Comma 7" xfId="692" hidden="1" xr:uid="{00000000-0005-0000-0000-000063010000}"/>
    <cellStyle name="Comma 7" xfId="696" hidden="1" xr:uid="{00000000-0005-0000-0000-000064010000}"/>
    <cellStyle name="Comma 7" xfId="699" hidden="1" xr:uid="{00000000-0005-0000-0000-000065010000}"/>
    <cellStyle name="Comma 7" xfId="698" hidden="1" xr:uid="{00000000-0005-0000-0000-000066010000}"/>
    <cellStyle name="Comma 7" xfId="703" hidden="1" xr:uid="{00000000-0005-0000-0000-000067010000}"/>
    <cellStyle name="Comma 7" xfId="702" hidden="1" xr:uid="{00000000-0005-0000-0000-000068010000}"/>
    <cellStyle name="Comma 7" xfId="705" hidden="1" xr:uid="{00000000-0005-0000-0000-000069010000}"/>
    <cellStyle name="Comma 7" xfId="709" hidden="1" xr:uid="{00000000-0005-0000-0000-00006A010000}"/>
    <cellStyle name="Comma 7" xfId="712" hidden="1" xr:uid="{00000000-0005-0000-0000-00006B010000}"/>
    <cellStyle name="Comma 7" xfId="715" hidden="1" xr:uid="{00000000-0005-0000-0000-00006C010000}"/>
    <cellStyle name="Comma 7" xfId="714" hidden="1" xr:uid="{00000000-0005-0000-0000-00006D010000}"/>
    <cellStyle name="Comma 7" xfId="719" hidden="1" xr:uid="{00000000-0005-0000-0000-00006E010000}"/>
    <cellStyle name="Comma 7" xfId="728" hidden="1" xr:uid="{00000000-0005-0000-0000-00006F010000}"/>
    <cellStyle name="Comma 7" xfId="727" hidden="1" xr:uid="{00000000-0005-0000-0000-000070010000}"/>
    <cellStyle name="Comma 7" xfId="725" hidden="1" xr:uid="{00000000-0005-0000-0000-000071010000}"/>
    <cellStyle name="Comma 7" xfId="726" hidden="1" xr:uid="{00000000-0005-0000-0000-000072010000}"/>
    <cellStyle name="Comma 7" xfId="729" hidden="1" xr:uid="{00000000-0005-0000-0000-000073010000}"/>
    <cellStyle name="Comma 7" xfId="731" hidden="1" xr:uid="{00000000-0005-0000-0000-000074010000}"/>
    <cellStyle name="Comma 7" xfId="730" hidden="1" xr:uid="{00000000-0005-0000-0000-000075010000}"/>
    <cellStyle name="Comma 7" xfId="720" hidden="1" xr:uid="{00000000-0005-0000-0000-000076010000}"/>
    <cellStyle name="Comma 7" xfId="724" hidden="1" xr:uid="{00000000-0005-0000-0000-000077010000}"/>
    <cellStyle name="Comma 7" xfId="721" hidden="1" xr:uid="{00000000-0005-0000-0000-000078010000}"/>
    <cellStyle name="Comma 7" xfId="723" hidden="1" xr:uid="{00000000-0005-0000-0000-000079010000}"/>
    <cellStyle name="Comma 7" xfId="722" hidden="1" xr:uid="{00000000-0005-0000-0000-00007A010000}"/>
    <cellStyle name="Comma 7" xfId="717" hidden="1" xr:uid="{00000000-0005-0000-0000-00007B010000}"/>
    <cellStyle name="Comma 7" xfId="718" hidden="1" xr:uid="{00000000-0005-0000-0000-00007C010000}"/>
    <cellStyle name="Comma 7" xfId="716" hidden="1" xr:uid="{00000000-0005-0000-0000-00007D010000}"/>
    <cellStyle name="Comma 7" xfId="708" hidden="1" xr:uid="{00000000-0005-0000-0000-00007E010000}"/>
    <cellStyle name="Comma 7" xfId="706" hidden="1" xr:uid="{00000000-0005-0000-0000-00007F010000}"/>
    <cellStyle name="Comma 7" xfId="707" hidden="1" xr:uid="{00000000-0005-0000-0000-000080010000}"/>
    <cellStyle name="Comma 7" xfId="704" hidden="1" xr:uid="{00000000-0005-0000-0000-000081010000}"/>
    <cellStyle name="Comma 7" xfId="701" hidden="1" xr:uid="{00000000-0005-0000-0000-000082010000}"/>
    <cellStyle name="Comma 7" xfId="700" hidden="1" xr:uid="{00000000-0005-0000-0000-000083010000}"/>
    <cellStyle name="Comma 7" xfId="697" hidden="1" xr:uid="{00000000-0005-0000-0000-000084010000}"/>
    <cellStyle name="Comma 7" xfId="694" hidden="1" xr:uid="{00000000-0005-0000-0000-000085010000}"/>
    <cellStyle name="Comma 7" xfId="695" hidden="1" xr:uid="{00000000-0005-0000-0000-000086010000}"/>
    <cellStyle name="Comma 7" xfId="691" hidden="1" xr:uid="{00000000-0005-0000-0000-000087010000}"/>
    <cellStyle name="Comma 7" xfId="687" hidden="1" xr:uid="{00000000-0005-0000-0000-000088010000}"/>
    <cellStyle name="Comma 7" xfId="689" hidden="1" xr:uid="{00000000-0005-0000-0000-000089010000}"/>
    <cellStyle name="Comma 7" xfId="683" hidden="1" xr:uid="{00000000-0005-0000-0000-00008A010000}"/>
    <cellStyle name="Comma 7" xfId="684" hidden="1" xr:uid="{00000000-0005-0000-0000-00008B010000}"/>
    <cellStyle name="Comma 7" xfId="680" hidden="1" xr:uid="{00000000-0005-0000-0000-00008C010000}"/>
    <cellStyle name="Comma 7" xfId="678" hidden="1" xr:uid="{00000000-0005-0000-0000-00008D010000}"/>
    <cellStyle name="Comma 7" xfId="670" hidden="1" xr:uid="{00000000-0005-0000-0000-00008E010000}"/>
    <cellStyle name="Comma 7" xfId="668" hidden="1" xr:uid="{00000000-0005-0000-0000-00008F010000}"/>
    <cellStyle name="Comma 7" xfId="661" hidden="1" xr:uid="{00000000-0005-0000-0000-000090010000}"/>
    <cellStyle name="Comma 7" xfId="666" hidden="1" xr:uid="{00000000-0005-0000-0000-000091010000}"/>
    <cellStyle name="Comma 7" xfId="662" hidden="1" xr:uid="{00000000-0005-0000-0000-000092010000}"/>
    <cellStyle name="Comma 7" xfId="664" hidden="1" xr:uid="{00000000-0005-0000-0000-000093010000}"/>
    <cellStyle name="Comma 7" xfId="663" hidden="1" xr:uid="{00000000-0005-0000-0000-000094010000}"/>
    <cellStyle name="Comma 7" xfId="659" hidden="1" xr:uid="{00000000-0005-0000-0000-000095010000}"/>
    <cellStyle name="Comma 7" xfId="660" hidden="1" xr:uid="{00000000-0005-0000-0000-000096010000}"/>
    <cellStyle name="Comma 7" xfId="658" hidden="1" xr:uid="{00000000-0005-0000-0000-000097010000}"/>
    <cellStyle name="Comma 7" xfId="655" hidden="1" xr:uid="{00000000-0005-0000-0000-000098010000}"/>
    <cellStyle name="Comma 7" xfId="652" hidden="1" xr:uid="{00000000-0005-0000-0000-000099010000}"/>
    <cellStyle name="Comma 7" xfId="653" hidden="1" xr:uid="{00000000-0005-0000-0000-00009A010000}"/>
    <cellStyle name="Comma 7" xfId="648" hidden="1" xr:uid="{00000000-0005-0000-0000-00009B010000}"/>
    <cellStyle name="Comma 7" xfId="647" hidden="1" xr:uid="{00000000-0005-0000-0000-00009C010000}"/>
    <cellStyle name="Comma 7" xfId="645" hidden="1" xr:uid="{00000000-0005-0000-0000-00009D010000}"/>
    <cellStyle name="Comma 7" xfId="642" hidden="1" xr:uid="{00000000-0005-0000-0000-00009E010000}"/>
    <cellStyle name="Comma 7" xfId="639" hidden="1" xr:uid="{00000000-0005-0000-0000-00009F010000}"/>
    <cellStyle name="Comma 7" xfId="640" hidden="1" xr:uid="{00000000-0005-0000-0000-0000A0010000}"/>
    <cellStyle name="Comma 7" xfId="636" hidden="1" xr:uid="{00000000-0005-0000-0000-0000A1010000}"/>
    <cellStyle name="Comma 7" xfId="633" hidden="1" xr:uid="{00000000-0005-0000-0000-0000A2010000}"/>
    <cellStyle name="Comma 7" xfId="634" hidden="1" xr:uid="{00000000-0005-0000-0000-0000A3010000}"/>
    <cellStyle name="Comma 7" xfId="628" hidden="1" xr:uid="{00000000-0005-0000-0000-0000A4010000}"/>
    <cellStyle name="Comma 7" xfId="630" hidden="1" xr:uid="{00000000-0005-0000-0000-0000A5010000}"/>
    <cellStyle name="Comma 7" xfId="627" hidden="1" xr:uid="{00000000-0005-0000-0000-0000A6010000}"/>
    <cellStyle name="Comma 7" xfId="625" hidden="1" xr:uid="{00000000-0005-0000-0000-0000A7010000}"/>
    <cellStyle name="Comma 7" xfId="615" hidden="1" xr:uid="{00000000-0005-0000-0000-0000A8010000}"/>
    <cellStyle name="Comma 7" xfId="613" hidden="1" xr:uid="{00000000-0005-0000-0000-0000A9010000}"/>
    <cellStyle name="Comma 7" xfId="606" hidden="1" xr:uid="{00000000-0005-0000-0000-0000AA010000}"/>
    <cellStyle name="Comma 7" xfId="610" hidden="1" xr:uid="{00000000-0005-0000-0000-0000AB010000}"/>
    <cellStyle name="Comma 7" xfId="607" hidden="1" xr:uid="{00000000-0005-0000-0000-0000AC010000}"/>
    <cellStyle name="Comma 7" xfId="609" hidden="1" xr:uid="{00000000-0005-0000-0000-0000AD010000}"/>
    <cellStyle name="Comma 7" xfId="608" hidden="1" xr:uid="{00000000-0005-0000-0000-0000AE010000}"/>
    <cellStyle name="Comma 7" xfId="603" hidden="1" xr:uid="{00000000-0005-0000-0000-0000AF010000}"/>
    <cellStyle name="Comma 7" xfId="605" hidden="1" xr:uid="{00000000-0005-0000-0000-0000B0010000}"/>
    <cellStyle name="Comma 7" xfId="601" hidden="1" xr:uid="{00000000-0005-0000-0000-0000B1010000}"/>
    <cellStyle name="Comma 7" xfId="597" hidden="1" xr:uid="{00000000-0005-0000-0000-0000B2010000}"/>
    <cellStyle name="Comma 7" xfId="593" hidden="1" xr:uid="{00000000-0005-0000-0000-0000B3010000}"/>
    <cellStyle name="Comma 7" xfId="594" hidden="1" xr:uid="{00000000-0005-0000-0000-0000B4010000}"/>
    <cellStyle name="Comma 7" xfId="591" hidden="1" xr:uid="{00000000-0005-0000-0000-0000B5010000}"/>
    <cellStyle name="Comma 7" xfId="588" hidden="1" xr:uid="{00000000-0005-0000-0000-0000B6010000}"/>
    <cellStyle name="Comma 7" xfId="587" hidden="1" xr:uid="{00000000-0005-0000-0000-0000B7010000}"/>
    <cellStyle name="Comma 7" xfId="585" hidden="1" xr:uid="{00000000-0005-0000-0000-0000B8010000}"/>
    <cellStyle name="Comma 7" xfId="581" hidden="1" xr:uid="{00000000-0005-0000-0000-0000B9010000}"/>
    <cellStyle name="Comma 7" xfId="582" hidden="1" xr:uid="{00000000-0005-0000-0000-0000BA010000}"/>
    <cellStyle name="Comma 7" xfId="579" hidden="1" xr:uid="{00000000-0005-0000-0000-0000BB010000}"/>
    <cellStyle name="Comma 7" xfId="575" hidden="1" xr:uid="{00000000-0005-0000-0000-0000BC010000}"/>
    <cellStyle name="Comma 7" xfId="576" hidden="1" xr:uid="{00000000-0005-0000-0000-0000BD010000}"/>
    <cellStyle name="Comma 7" xfId="572" hidden="1" xr:uid="{00000000-0005-0000-0000-0000BE010000}"/>
    <cellStyle name="Comma 7" xfId="573" hidden="1" xr:uid="{00000000-0005-0000-0000-0000BF010000}"/>
    <cellStyle name="Comma 7" xfId="571" hidden="1" xr:uid="{00000000-0005-0000-0000-0000C0010000}"/>
    <cellStyle name="Comma 7" xfId="563" hidden="1" xr:uid="{00000000-0005-0000-0000-0000C1010000}"/>
    <cellStyle name="Comma 7" xfId="560" hidden="1" xr:uid="{00000000-0005-0000-0000-0000C2010000}"/>
    <cellStyle name="Comma 7" xfId="558" hidden="1" xr:uid="{00000000-0005-0000-0000-0000C3010000}"/>
    <cellStyle name="Comma 7" xfId="552" hidden="1" xr:uid="{00000000-0005-0000-0000-0000C4010000}"/>
    <cellStyle name="Comma 7" xfId="556" hidden="1" xr:uid="{00000000-0005-0000-0000-0000C5010000}"/>
    <cellStyle name="Comma 7" xfId="553" hidden="1" xr:uid="{00000000-0005-0000-0000-0000C6010000}"/>
    <cellStyle name="Comma 7" xfId="555" hidden="1" xr:uid="{00000000-0005-0000-0000-0000C7010000}"/>
    <cellStyle name="Comma 7" xfId="554" hidden="1" xr:uid="{00000000-0005-0000-0000-0000C8010000}"/>
    <cellStyle name="Comma 7" xfId="550" hidden="1" xr:uid="{00000000-0005-0000-0000-0000C9010000}"/>
    <cellStyle name="Comma 7" xfId="551" hidden="1" xr:uid="{00000000-0005-0000-0000-0000CA010000}"/>
    <cellStyle name="Comma 7" xfId="549" hidden="1" xr:uid="{00000000-0005-0000-0000-0000CB010000}"/>
    <cellStyle name="Comma 7" xfId="543" hidden="1" xr:uid="{00000000-0005-0000-0000-0000CC010000}"/>
    <cellStyle name="Comma 7" xfId="540" hidden="1" xr:uid="{00000000-0005-0000-0000-0000CD010000}"/>
    <cellStyle name="Comma 7" xfId="541" hidden="1" xr:uid="{00000000-0005-0000-0000-0000CE010000}"/>
    <cellStyle name="Comma 7" xfId="537" hidden="1" xr:uid="{00000000-0005-0000-0000-0000CF010000}"/>
    <cellStyle name="Comma 7" xfId="535" hidden="1" xr:uid="{00000000-0005-0000-0000-0000D0010000}"/>
    <cellStyle name="Comma 7" xfId="533" hidden="1" xr:uid="{00000000-0005-0000-0000-0000D1010000}"/>
    <cellStyle name="Comma 7" xfId="531" hidden="1" xr:uid="{00000000-0005-0000-0000-0000D2010000}"/>
    <cellStyle name="Comma 7" xfId="528" hidden="1" xr:uid="{00000000-0005-0000-0000-0000D3010000}"/>
    <cellStyle name="Comma 7" xfId="529" hidden="1" xr:uid="{00000000-0005-0000-0000-0000D4010000}"/>
    <cellStyle name="Comma 7" xfId="525" hidden="1" xr:uid="{00000000-0005-0000-0000-0000D5010000}"/>
    <cellStyle name="Comma 7" xfId="522" hidden="1" xr:uid="{00000000-0005-0000-0000-0000D6010000}"/>
    <cellStyle name="Comma 7" xfId="523" hidden="1" xr:uid="{00000000-0005-0000-0000-0000D7010000}"/>
    <cellStyle name="Comma 7" xfId="520" hidden="1" xr:uid="{00000000-0005-0000-0000-0000D8010000}"/>
    <cellStyle name="Comma 7" xfId="521" hidden="1" xr:uid="{00000000-0005-0000-0000-0000D9010000}"/>
    <cellStyle name="Comma 7" xfId="519" hidden="1" xr:uid="{00000000-0005-0000-0000-0000DA010000}"/>
    <cellStyle name="Comma 7" xfId="509" hidden="1" xr:uid="{00000000-0005-0000-0000-0000DB010000}"/>
    <cellStyle name="Comma 7" xfId="505" hidden="1" xr:uid="{00000000-0005-0000-0000-0000DC010000}"/>
    <cellStyle name="Comma 7" xfId="503" hidden="1" xr:uid="{00000000-0005-0000-0000-0000DD010000}"/>
    <cellStyle name="Comma 7" xfId="496" hidden="1" xr:uid="{00000000-0005-0000-0000-0000DE010000}"/>
    <cellStyle name="Comma 7" xfId="500" hidden="1" xr:uid="{00000000-0005-0000-0000-0000DF010000}"/>
    <cellStyle name="Comma 7" xfId="497" hidden="1" xr:uid="{00000000-0005-0000-0000-0000E0010000}"/>
    <cellStyle name="Comma 7" xfId="499" hidden="1" xr:uid="{00000000-0005-0000-0000-0000E1010000}"/>
    <cellStyle name="Comma 7" xfId="498" hidden="1" xr:uid="{00000000-0005-0000-0000-0000E2010000}"/>
    <cellStyle name="Comma 7" xfId="494" hidden="1" xr:uid="{00000000-0005-0000-0000-0000E3010000}"/>
    <cellStyle name="Comma 7" xfId="495" hidden="1" xr:uid="{00000000-0005-0000-0000-0000E4010000}"/>
    <cellStyle name="Comma 7" xfId="492" hidden="1" xr:uid="{00000000-0005-0000-0000-0000E5010000}"/>
    <cellStyle name="Comma 7" xfId="486" hidden="1" xr:uid="{00000000-0005-0000-0000-0000E6010000}"/>
    <cellStyle name="Comma 7" xfId="483" hidden="1" xr:uid="{00000000-0005-0000-0000-0000E7010000}"/>
    <cellStyle name="Comma 7" xfId="484" hidden="1" xr:uid="{00000000-0005-0000-0000-0000E8010000}"/>
    <cellStyle name="Comma 7" xfId="480" hidden="1" xr:uid="{00000000-0005-0000-0000-0000E9010000}"/>
    <cellStyle name="Comma 7" xfId="478" hidden="1" xr:uid="{00000000-0005-0000-0000-0000EA010000}"/>
    <cellStyle name="Comma 7" xfId="476" hidden="1" xr:uid="{00000000-0005-0000-0000-0000EB010000}"/>
    <cellStyle name="Comma 7" xfId="474" hidden="1" xr:uid="{00000000-0005-0000-0000-0000EC010000}"/>
    <cellStyle name="Comma 7" xfId="470" hidden="1" xr:uid="{00000000-0005-0000-0000-0000ED010000}"/>
    <cellStyle name="Comma 7" xfId="471" hidden="1" xr:uid="{00000000-0005-0000-0000-0000EE010000}"/>
    <cellStyle name="Comma 7" xfId="468" hidden="1" xr:uid="{00000000-0005-0000-0000-0000EF010000}"/>
    <cellStyle name="Comma 7" xfId="466" hidden="1" xr:uid="{00000000-0005-0000-0000-0000F0010000}"/>
    <cellStyle name="Comma 7" xfId="467" hidden="1" xr:uid="{00000000-0005-0000-0000-0000F1010000}"/>
    <cellStyle name="Comma 7" xfId="464" hidden="1" xr:uid="{00000000-0005-0000-0000-0000F2010000}"/>
    <cellStyle name="Comma 7" xfId="465" hidden="1" xr:uid="{00000000-0005-0000-0000-0000F3010000}"/>
    <cellStyle name="Comma 7" xfId="460" hidden="1" xr:uid="{00000000-0005-0000-0000-0000F4010000}"/>
    <cellStyle name="Comma 7" xfId="453" hidden="1" xr:uid="{00000000-0005-0000-0000-0000F5010000}"/>
    <cellStyle name="Comma 7" xfId="451" hidden="1" xr:uid="{00000000-0005-0000-0000-0000F6010000}"/>
    <cellStyle name="Comma 7" xfId="449" hidden="1" xr:uid="{00000000-0005-0000-0000-0000F7010000}"/>
    <cellStyle name="Comma 7" xfId="444" hidden="1" xr:uid="{00000000-0005-0000-0000-0000F8010000}"/>
    <cellStyle name="Comma 7" xfId="448" hidden="1" xr:uid="{00000000-0005-0000-0000-0000F9010000}"/>
    <cellStyle name="Comma 7" xfId="445" hidden="1" xr:uid="{00000000-0005-0000-0000-0000FA010000}"/>
    <cellStyle name="Comma 7" xfId="447" hidden="1" xr:uid="{00000000-0005-0000-0000-0000FB010000}"/>
    <cellStyle name="Comma 7" xfId="446" hidden="1" xr:uid="{00000000-0005-0000-0000-0000FC010000}"/>
    <cellStyle name="Comma 7" xfId="441" hidden="1" xr:uid="{00000000-0005-0000-0000-0000FD010000}"/>
    <cellStyle name="Comma 7" xfId="442" hidden="1" xr:uid="{00000000-0005-0000-0000-0000FE010000}"/>
    <cellStyle name="Comma 7" xfId="440" hidden="1" xr:uid="{00000000-0005-0000-0000-0000FF010000}"/>
    <cellStyle name="Comma 7" xfId="432" hidden="1" xr:uid="{00000000-0005-0000-0000-000000020000}"/>
    <cellStyle name="Comma 7" xfId="430" hidden="1" xr:uid="{00000000-0005-0000-0000-000001020000}"/>
    <cellStyle name="Comma 7" xfId="431" hidden="1" xr:uid="{00000000-0005-0000-0000-000002020000}"/>
    <cellStyle name="Comma 7" xfId="427" hidden="1" xr:uid="{00000000-0005-0000-0000-000003020000}"/>
    <cellStyle name="Comma 7" xfId="425" hidden="1" xr:uid="{00000000-0005-0000-0000-000004020000}"/>
    <cellStyle name="Comma 7" xfId="423" hidden="1" xr:uid="{00000000-0005-0000-0000-000005020000}"/>
    <cellStyle name="Comma 7" xfId="420" hidden="1" xr:uid="{00000000-0005-0000-0000-000006020000}"/>
    <cellStyle name="Comma 7" xfId="417" hidden="1" xr:uid="{00000000-0005-0000-0000-000007020000}"/>
    <cellStyle name="Comma 7" xfId="418" hidden="1" xr:uid="{00000000-0005-0000-0000-000008020000}"/>
    <cellStyle name="Comma 7" xfId="416" hidden="1" xr:uid="{00000000-0005-0000-0000-000009020000}"/>
    <cellStyle name="Comma 7" xfId="414" hidden="1" xr:uid="{00000000-0005-0000-0000-00000A020000}"/>
    <cellStyle name="Comma 7" xfId="415" hidden="1" xr:uid="{00000000-0005-0000-0000-00000B020000}"/>
    <cellStyle name="Comma 7" xfId="411" hidden="1" xr:uid="{00000000-0005-0000-0000-00000C020000}"/>
    <cellStyle name="Comma 7" xfId="412" hidden="1" xr:uid="{00000000-0005-0000-0000-00000D020000}"/>
    <cellStyle name="Comma 7" xfId="403" hidden="1" xr:uid="{00000000-0005-0000-0000-00000E020000}"/>
    <cellStyle name="Comma 7" xfId="399" hidden="1" xr:uid="{00000000-0005-0000-0000-00000F020000}"/>
    <cellStyle name="Comma 7" xfId="394" hidden="1" xr:uid="{00000000-0005-0000-0000-000010020000}"/>
    <cellStyle name="Comma 7" xfId="393" hidden="1" xr:uid="{00000000-0005-0000-0000-000011020000}"/>
    <cellStyle name="Comma 7" xfId="387" hidden="1" xr:uid="{00000000-0005-0000-0000-000012020000}"/>
    <cellStyle name="Comma 7" xfId="391" hidden="1" xr:uid="{00000000-0005-0000-0000-000013020000}"/>
    <cellStyle name="Comma 7" xfId="388" hidden="1" xr:uid="{00000000-0005-0000-0000-000014020000}"/>
    <cellStyle name="Comma 7" xfId="390" hidden="1" xr:uid="{00000000-0005-0000-0000-000015020000}"/>
    <cellStyle name="Comma 7" xfId="389" hidden="1" xr:uid="{00000000-0005-0000-0000-000016020000}"/>
    <cellStyle name="Comma 7" xfId="384" hidden="1" xr:uid="{00000000-0005-0000-0000-000017020000}"/>
    <cellStyle name="Comma 7" xfId="385" hidden="1" xr:uid="{00000000-0005-0000-0000-000018020000}"/>
    <cellStyle name="Comma 7" xfId="382" hidden="1" xr:uid="{00000000-0005-0000-0000-000019020000}"/>
    <cellStyle name="Comma 7" xfId="375" hidden="1" xr:uid="{00000000-0005-0000-0000-00001A020000}"/>
    <cellStyle name="Comma 7" xfId="372" hidden="1" xr:uid="{00000000-0005-0000-0000-00001B020000}"/>
    <cellStyle name="Comma 7" xfId="373" hidden="1" xr:uid="{00000000-0005-0000-0000-00001C020000}"/>
    <cellStyle name="Comma 7" xfId="369" hidden="1" xr:uid="{00000000-0005-0000-0000-00001D020000}"/>
    <cellStyle name="Comma 7" xfId="368" hidden="1" xr:uid="{00000000-0005-0000-0000-00001E020000}"/>
    <cellStyle name="Comma 7" xfId="365" hidden="1" xr:uid="{00000000-0005-0000-0000-00001F020000}"/>
    <cellStyle name="Comma 7" xfId="363" hidden="1" xr:uid="{00000000-0005-0000-0000-000020020000}"/>
    <cellStyle name="Comma 7" xfId="361" hidden="1" xr:uid="{00000000-0005-0000-0000-000021020000}"/>
    <cellStyle name="Comma 7" xfId="362" hidden="1" xr:uid="{00000000-0005-0000-0000-000022020000}"/>
    <cellStyle name="Comma 7" xfId="360" hidden="1" xr:uid="{00000000-0005-0000-0000-000023020000}"/>
    <cellStyle name="Comma 7" xfId="358" hidden="1" xr:uid="{00000000-0005-0000-0000-000024020000}"/>
    <cellStyle name="Comma 7" xfId="359" hidden="1" xr:uid="{00000000-0005-0000-0000-000025020000}"/>
    <cellStyle name="Comma 7" xfId="349" hidden="1" xr:uid="{00000000-0005-0000-0000-000026020000}"/>
    <cellStyle name="Comma 7" xfId="354" hidden="1" xr:uid="{00000000-0005-0000-0000-000027020000}"/>
    <cellStyle name="Comma 7" xfId="347" hidden="1" xr:uid="{00000000-0005-0000-0000-000028020000}"/>
    <cellStyle name="Comma 7" xfId="344" hidden="1" xr:uid="{00000000-0005-0000-0000-000029020000}"/>
    <cellStyle name="Comma 7" xfId="342" hidden="1" xr:uid="{00000000-0005-0000-0000-00002A020000}"/>
    <cellStyle name="Comma 7" xfId="341" hidden="1" xr:uid="{00000000-0005-0000-0000-00002B020000}"/>
    <cellStyle name="Comma 7" xfId="333" hidden="1" xr:uid="{00000000-0005-0000-0000-00002C020000}"/>
    <cellStyle name="Comma 7" xfId="338" hidden="1" xr:uid="{00000000-0005-0000-0000-00002D020000}"/>
    <cellStyle name="Comma 7" xfId="334" hidden="1" xr:uid="{00000000-0005-0000-0000-00002E020000}"/>
    <cellStyle name="Comma 7" xfId="336" hidden="1" xr:uid="{00000000-0005-0000-0000-00002F020000}"/>
    <cellStyle name="Comma 7" xfId="335" hidden="1" xr:uid="{00000000-0005-0000-0000-000030020000}"/>
    <cellStyle name="Comma 7" xfId="331" hidden="1" xr:uid="{00000000-0005-0000-0000-000031020000}"/>
    <cellStyle name="Comma 7" xfId="332" hidden="1" xr:uid="{00000000-0005-0000-0000-000032020000}"/>
    <cellStyle name="Comma 7" xfId="328" hidden="1" xr:uid="{00000000-0005-0000-0000-000033020000}"/>
    <cellStyle name="Comma 7" xfId="322" hidden="1" xr:uid="{00000000-0005-0000-0000-000034020000}"/>
    <cellStyle name="Comma 7" xfId="319" hidden="1" xr:uid="{00000000-0005-0000-0000-000035020000}"/>
    <cellStyle name="Comma 7" xfId="320" hidden="1" xr:uid="{00000000-0005-0000-0000-000036020000}"/>
    <cellStyle name="Comma 7" xfId="317" hidden="1" xr:uid="{00000000-0005-0000-0000-000037020000}"/>
    <cellStyle name="Comma 7" xfId="314" hidden="1" xr:uid="{00000000-0005-0000-0000-000038020000}"/>
    <cellStyle name="Comma 7" xfId="312" hidden="1" xr:uid="{00000000-0005-0000-0000-000039020000}"/>
    <cellStyle name="Comma 7" xfId="311" hidden="1" xr:uid="{00000000-0005-0000-0000-00003A020000}"/>
    <cellStyle name="Comma 7" xfId="309" hidden="1" xr:uid="{00000000-0005-0000-0000-00003B020000}"/>
    <cellStyle name="Comma 7" xfId="310" hidden="1" xr:uid="{00000000-0005-0000-0000-00003C020000}"/>
    <cellStyle name="Comma 7" xfId="308" hidden="1" xr:uid="{00000000-0005-0000-0000-00003D020000}"/>
    <cellStyle name="Comma 7" xfId="303" hidden="1" xr:uid="{00000000-0005-0000-0000-00003E020000}"/>
    <cellStyle name="Comma 7" xfId="306" hidden="1" xr:uid="{00000000-0005-0000-0000-00003F020000}"/>
    <cellStyle name="Comma 7" xfId="296" hidden="1" xr:uid="{00000000-0005-0000-0000-000040020000}"/>
    <cellStyle name="Comma 7" xfId="297" hidden="1" xr:uid="{00000000-0005-0000-0000-000041020000}"/>
    <cellStyle name="Comma 7" xfId="294" hidden="1" xr:uid="{00000000-0005-0000-0000-000042020000}"/>
    <cellStyle name="Comma 7" xfId="289" hidden="1" xr:uid="{00000000-0005-0000-0000-000043020000}"/>
    <cellStyle name="Comma 7" xfId="286" hidden="1" xr:uid="{00000000-0005-0000-0000-000044020000}"/>
    <cellStyle name="Comma 7" xfId="284" hidden="1" xr:uid="{00000000-0005-0000-0000-000045020000}"/>
    <cellStyle name="Comma 7" xfId="277" hidden="1" xr:uid="{00000000-0005-0000-0000-000046020000}"/>
    <cellStyle name="Comma 7" xfId="281" hidden="1" xr:uid="{00000000-0005-0000-0000-000047020000}"/>
    <cellStyle name="Comma 7" xfId="278" hidden="1" xr:uid="{00000000-0005-0000-0000-000048020000}"/>
    <cellStyle name="Comma 7" xfId="280" hidden="1" xr:uid="{00000000-0005-0000-0000-000049020000}"/>
    <cellStyle name="Comma 7" xfId="279" hidden="1" xr:uid="{00000000-0005-0000-0000-00004A020000}"/>
    <cellStyle name="Comma 7" xfId="273" hidden="1" xr:uid="{00000000-0005-0000-0000-00004B020000}"/>
    <cellStyle name="Comma 7" xfId="274" hidden="1" xr:uid="{00000000-0005-0000-0000-00004C020000}"/>
    <cellStyle name="Comma 7" xfId="271" hidden="1" xr:uid="{00000000-0005-0000-0000-00004D020000}"/>
    <cellStyle name="Comma 7" xfId="264" hidden="1" xr:uid="{00000000-0005-0000-0000-00004E020000}"/>
    <cellStyle name="Comma 7" xfId="262" hidden="1" xr:uid="{00000000-0005-0000-0000-00004F020000}"/>
    <cellStyle name="Comma 7" xfId="263" hidden="1" xr:uid="{00000000-0005-0000-0000-000050020000}"/>
    <cellStyle name="Comma 7" xfId="258" hidden="1" xr:uid="{00000000-0005-0000-0000-000051020000}"/>
    <cellStyle name="Comma 7" xfId="257" hidden="1" xr:uid="{00000000-0005-0000-0000-000052020000}"/>
    <cellStyle name="Comma 7" xfId="256" hidden="1" xr:uid="{00000000-0005-0000-0000-000053020000}"/>
    <cellStyle name="Comma 7" xfId="255" hidden="1" xr:uid="{00000000-0005-0000-0000-000054020000}"/>
    <cellStyle name="Comma 7" xfId="253" hidden="1" xr:uid="{00000000-0005-0000-0000-000055020000}"/>
    <cellStyle name="Comma 7" xfId="254" hidden="1" xr:uid="{00000000-0005-0000-0000-000056020000}"/>
    <cellStyle name="Comma 7" xfId="251" hidden="1" xr:uid="{00000000-0005-0000-0000-000057020000}"/>
    <cellStyle name="Comma 7" xfId="242" hidden="1" xr:uid="{00000000-0005-0000-0000-000058020000}"/>
    <cellStyle name="Comma 7" xfId="243" hidden="1" xr:uid="{00000000-0005-0000-0000-000059020000}"/>
    <cellStyle name="Comma 7" xfId="239" hidden="1" xr:uid="{00000000-0005-0000-0000-00005A020000}"/>
    <cellStyle name="Comma 7" xfId="240" hidden="1" xr:uid="{00000000-0005-0000-0000-00005B020000}"/>
    <cellStyle name="Comma 7" xfId="237" hidden="1" xr:uid="{00000000-0005-0000-0000-00005C020000}"/>
    <cellStyle name="Comma 7" xfId="235" hidden="1" xr:uid="{00000000-0005-0000-0000-00005D020000}"/>
    <cellStyle name="Comma 7" xfId="233" hidden="1" xr:uid="{00000000-0005-0000-0000-00005E020000}"/>
    <cellStyle name="Comma 7" xfId="230" hidden="1" xr:uid="{00000000-0005-0000-0000-00005F020000}"/>
    <cellStyle name="Comma 7" xfId="223" hidden="1" xr:uid="{00000000-0005-0000-0000-000060020000}"/>
    <cellStyle name="Comma 7" xfId="227" hidden="1" xr:uid="{00000000-0005-0000-0000-000061020000}"/>
    <cellStyle name="Comma 7" xfId="224" hidden="1" xr:uid="{00000000-0005-0000-0000-000062020000}"/>
    <cellStyle name="Comma 7" xfId="226" hidden="1" xr:uid="{00000000-0005-0000-0000-000063020000}"/>
    <cellStyle name="Comma 7" xfId="225" hidden="1" xr:uid="{00000000-0005-0000-0000-000064020000}"/>
    <cellStyle name="Comma 7" xfId="220" hidden="1" xr:uid="{00000000-0005-0000-0000-000065020000}"/>
    <cellStyle name="Comma 7" xfId="221" hidden="1" xr:uid="{00000000-0005-0000-0000-000066020000}"/>
    <cellStyle name="Comma 7" xfId="219" hidden="1" xr:uid="{00000000-0005-0000-0000-000067020000}"/>
    <cellStyle name="Comma 7" xfId="212" hidden="1" xr:uid="{00000000-0005-0000-0000-000068020000}"/>
    <cellStyle name="Comma 7" xfId="208" hidden="1" xr:uid="{00000000-0005-0000-0000-000069020000}"/>
    <cellStyle name="Comma 7" xfId="209" hidden="1" xr:uid="{00000000-0005-0000-0000-00006A020000}"/>
    <cellStyle name="Comma 7" xfId="206" hidden="1" xr:uid="{00000000-0005-0000-0000-00006B020000}"/>
    <cellStyle name="Comma 7" xfId="205" hidden="1" xr:uid="{00000000-0005-0000-0000-00006C020000}"/>
    <cellStyle name="Comma 7" xfId="204" hidden="1" xr:uid="{00000000-0005-0000-0000-00006D020000}"/>
    <cellStyle name="Comma 7" xfId="203" hidden="1" xr:uid="{00000000-0005-0000-0000-00006E020000}"/>
    <cellStyle name="Comma 7" xfId="200" hidden="1" xr:uid="{00000000-0005-0000-0000-00006F020000}"/>
    <cellStyle name="Comma 7" xfId="201" hidden="1" xr:uid="{00000000-0005-0000-0000-000070020000}"/>
    <cellStyle name="Comma 7" xfId="192" hidden="1" xr:uid="{00000000-0005-0000-0000-000071020000}"/>
    <cellStyle name="Comma 7" xfId="190" hidden="1" xr:uid="{00000000-0005-0000-0000-000072020000}"/>
    <cellStyle name="Comma 7" xfId="191" hidden="1" xr:uid="{00000000-0005-0000-0000-000073020000}"/>
    <cellStyle name="Comma 7" xfId="186" hidden="1" xr:uid="{00000000-0005-0000-0000-000074020000}"/>
    <cellStyle name="Comma 7" xfId="187" hidden="1" xr:uid="{00000000-0005-0000-0000-000075020000}"/>
    <cellStyle name="Comma 7" xfId="184" hidden="1" xr:uid="{00000000-0005-0000-0000-000076020000}"/>
    <cellStyle name="Comma 7" xfId="180" hidden="1" xr:uid="{00000000-0005-0000-0000-000077020000}"/>
    <cellStyle name="Comma 7" xfId="176" hidden="1" xr:uid="{00000000-0005-0000-0000-000078020000}"/>
    <cellStyle name="Comma 7" xfId="174" hidden="1" xr:uid="{00000000-0005-0000-0000-000079020000}"/>
    <cellStyle name="Comma 7" xfId="166" hidden="1" xr:uid="{00000000-0005-0000-0000-00007A020000}"/>
    <cellStyle name="Comma 7" xfId="171" hidden="1" xr:uid="{00000000-0005-0000-0000-00007B020000}"/>
    <cellStyle name="Comma 7" xfId="167" hidden="1" xr:uid="{00000000-0005-0000-0000-00007C020000}"/>
    <cellStyle name="Comma 7" xfId="169" hidden="1" xr:uid="{00000000-0005-0000-0000-00007D020000}"/>
    <cellStyle name="Comma 7" xfId="168" hidden="1" xr:uid="{00000000-0005-0000-0000-00007E020000}"/>
    <cellStyle name="Comma 7" xfId="164" hidden="1" xr:uid="{00000000-0005-0000-0000-00007F020000}"/>
    <cellStyle name="Comma 7" xfId="165" hidden="1" xr:uid="{00000000-0005-0000-0000-000080020000}"/>
    <cellStyle name="Comma 7" xfId="161" hidden="1" xr:uid="{00000000-0005-0000-0000-000081020000}"/>
    <cellStyle name="Comma 7" xfId="156" hidden="1" xr:uid="{00000000-0005-0000-0000-000082020000}"/>
    <cellStyle name="Comma 7" xfId="151" hidden="1" xr:uid="{00000000-0005-0000-0000-000083020000}"/>
    <cellStyle name="Comma 7" xfId="152" hidden="1" xr:uid="{00000000-0005-0000-0000-000084020000}"/>
    <cellStyle name="Comma 7" xfId="150" hidden="1" xr:uid="{00000000-0005-0000-0000-000085020000}"/>
    <cellStyle name="Comma 7" xfId="149" hidden="1" xr:uid="{00000000-0005-0000-0000-000086020000}"/>
    <cellStyle name="Comma 7" xfId="148" hidden="1" xr:uid="{00000000-0005-0000-0000-000087020000}"/>
    <cellStyle name="Comma 7" xfId="147" hidden="1" xr:uid="{00000000-0005-0000-0000-000088020000}"/>
    <cellStyle name="Comma 7" xfId="142" hidden="1" xr:uid="{00000000-0005-0000-0000-000089020000}"/>
    <cellStyle name="Comma 7" xfId="145" hidden="1" xr:uid="{00000000-0005-0000-0000-00008A020000}"/>
    <cellStyle name="Comma 7" xfId="136" hidden="1" xr:uid="{00000000-0005-0000-0000-00008B020000}"/>
    <cellStyle name="Comma 7" xfId="134" hidden="1" xr:uid="{00000000-0005-0000-0000-00008C020000}"/>
    <cellStyle name="Comma 7" xfId="135" hidden="1" xr:uid="{00000000-0005-0000-0000-00008D020000}"/>
    <cellStyle name="Comma 7" xfId="130" hidden="1" xr:uid="{00000000-0005-0000-0000-00008E020000}"/>
    <cellStyle name="Comma 7" xfId="131" hidden="1" xr:uid="{00000000-0005-0000-0000-00008F020000}"/>
    <cellStyle name="Comma 7" xfId="126" hidden="1" xr:uid="{00000000-0005-0000-0000-000090020000}"/>
    <cellStyle name="Comma 7" xfId="124" hidden="1" xr:uid="{00000000-0005-0000-0000-000091020000}"/>
    <cellStyle name="Comma 7" xfId="120" hidden="1" xr:uid="{00000000-0005-0000-0000-000092020000}"/>
    <cellStyle name="Comma 7" xfId="118" hidden="1" xr:uid="{00000000-0005-0000-0000-000093020000}"/>
    <cellStyle name="Comma 7" xfId="109" hidden="1" xr:uid="{00000000-0005-0000-0000-000094020000}"/>
    <cellStyle name="Comma 7" xfId="113" hidden="1" xr:uid="{00000000-0005-0000-0000-000095020000}"/>
    <cellStyle name="Comma 7" xfId="110" hidden="1" xr:uid="{00000000-0005-0000-0000-000096020000}"/>
    <cellStyle name="Comma 7" xfId="112" hidden="1" xr:uid="{00000000-0005-0000-0000-000097020000}"/>
    <cellStyle name="Comma 7" xfId="111" hidden="1" xr:uid="{00000000-0005-0000-0000-000098020000}"/>
    <cellStyle name="Comma 7" xfId="106" hidden="1" xr:uid="{00000000-0005-0000-0000-000099020000}"/>
    <cellStyle name="Comma 7" xfId="107" hidden="1" xr:uid="{00000000-0005-0000-0000-00009A020000}"/>
    <cellStyle name="Comma 7" xfId="104" hidden="1" xr:uid="{00000000-0005-0000-0000-00009B020000}"/>
    <cellStyle name="Comma 7" xfId="97" hidden="1" xr:uid="{00000000-0005-0000-0000-00009C020000}"/>
    <cellStyle name="Comma 7" xfId="94" hidden="1" xr:uid="{00000000-0005-0000-0000-00009D020000}"/>
    <cellStyle name="Comma 7" xfId="95" hidden="1" xr:uid="{00000000-0005-0000-0000-00009E020000}"/>
    <cellStyle name="Comma 7" xfId="93" hidden="1" xr:uid="{00000000-0005-0000-0000-00009F020000}"/>
    <cellStyle name="Comma 7" xfId="92" hidden="1" xr:uid="{00000000-0005-0000-0000-0000A0020000}"/>
    <cellStyle name="Comma 7" xfId="91" hidden="1" xr:uid="{00000000-0005-0000-0000-0000A1020000}"/>
    <cellStyle name="Comma 7" xfId="90" hidden="1" xr:uid="{00000000-0005-0000-0000-0000A2020000}"/>
    <cellStyle name="Comma 7" xfId="85" hidden="1" xr:uid="{00000000-0005-0000-0000-0000A3020000}"/>
    <cellStyle name="Comma 7" xfId="86" hidden="1" xr:uid="{00000000-0005-0000-0000-0000A4020000}"/>
    <cellStyle name="Comma 7" xfId="79" hidden="1" xr:uid="{00000000-0005-0000-0000-0000A5020000}"/>
    <cellStyle name="Comma 7" xfId="76" hidden="1" xr:uid="{00000000-0005-0000-0000-0000A6020000}"/>
    <cellStyle name="Comma 7" xfId="77" hidden="1" xr:uid="{00000000-0005-0000-0000-0000A7020000}"/>
    <cellStyle name="Comma 7" xfId="60" hidden="1" xr:uid="{00000000-0005-0000-0000-0000A8020000}"/>
    <cellStyle name="Comma 7" xfId="62" hidden="1" xr:uid="{00000000-0005-0000-0000-0000A9020000}"/>
    <cellStyle name="Comma 7" xfId="852" hidden="1" xr:uid="{00000000-0005-0000-0000-0000AA020000}"/>
    <cellStyle name="Comma 7" xfId="853" hidden="1" xr:uid="{00000000-0005-0000-0000-0000AB020000}"/>
    <cellStyle name="Comma 7" xfId="854" hidden="1" xr:uid="{00000000-0005-0000-0000-0000AC020000}"/>
    <cellStyle name="Comma 7" xfId="856" hidden="1" xr:uid="{00000000-0005-0000-0000-0000AD020000}"/>
    <cellStyle name="Comma 7" xfId="855" hidden="1" xr:uid="{00000000-0005-0000-0000-0000AE020000}"/>
    <cellStyle name="Comma 7" xfId="857" hidden="1" xr:uid="{00000000-0005-0000-0000-0000AF020000}"/>
    <cellStyle name="Comma 7" xfId="861" hidden="1" xr:uid="{00000000-0005-0000-0000-0000B0020000}"/>
    <cellStyle name="Comma 7" xfId="860" hidden="1" xr:uid="{00000000-0005-0000-0000-0000B1020000}"/>
    <cellStyle name="Comma 7" xfId="858" hidden="1" xr:uid="{00000000-0005-0000-0000-0000B2020000}"/>
    <cellStyle name="Comma 7" xfId="859" hidden="1" xr:uid="{00000000-0005-0000-0000-0000B3020000}"/>
    <cellStyle name="Comma 7" xfId="862" hidden="1" xr:uid="{00000000-0005-0000-0000-0000B4020000}"/>
    <cellStyle name="CUR.00  Input" xfId="831" xr:uid="{00000000-0005-0000-0000-0000B5020000}"/>
    <cellStyle name="CURR $.00 LOCKED" xfId="832" xr:uid="{00000000-0005-0000-0000-0000B6020000}"/>
    <cellStyle name="CURR Calc" xfId="833" xr:uid="{00000000-0005-0000-0000-0000B7020000}"/>
    <cellStyle name="CURR Calc TOTAL" xfId="834" xr:uid="{00000000-0005-0000-0000-0000B8020000}"/>
    <cellStyle name="CURR Input" xfId="835" xr:uid="{00000000-0005-0000-0000-0000B9020000}"/>
    <cellStyle name="Currency" xfId="866" builtinId="4"/>
    <cellStyle name="Currency." xfId="22" xr:uid="{00000000-0005-0000-0000-0000BB020000}"/>
    <cellStyle name="Currency. 2" xfId="775" xr:uid="{00000000-0005-0000-0000-0000BC020000}"/>
    <cellStyle name="Date." xfId="18" xr:uid="{00000000-0005-0000-0000-0000BD020000}"/>
    <cellStyle name="Date. 2" xfId="771" xr:uid="{00000000-0005-0000-0000-0000BE020000}"/>
    <cellStyle name="Followed Hyperlink 2" xfId="182" hidden="1" xr:uid="{00000000-0005-0000-0000-0000BF020000}"/>
    <cellStyle name="Followed Hyperlink 2" xfId="288" hidden="1" xr:uid="{00000000-0005-0000-0000-0000C0020000}"/>
    <cellStyle name="Followed Hyperlink 2" xfId="395" hidden="1" xr:uid="{00000000-0005-0000-0000-0000C1020000}"/>
    <cellStyle name="Followed Hyperlink 2" xfId="501" hidden="1" xr:uid="{00000000-0005-0000-0000-0000C2020000}"/>
    <cellStyle name="Followed Hyperlink 2" xfId="602" hidden="1" xr:uid="{00000000-0005-0000-0000-0000C3020000}"/>
    <cellStyle name="Followed Hyperlink 2" xfId="755" xr:uid="{00000000-0005-0000-0000-0000C4020000}"/>
    <cellStyle name="Followed Hyperlink 2 2" xfId="626" xr:uid="{00000000-0005-0000-0000-0000C5020000}"/>
    <cellStyle name="Followed Hyperlink 2 3" xfId="510" xr:uid="{00000000-0005-0000-0000-0000C6020000}"/>
    <cellStyle name="Followed Hyperlink 2 4" xfId="400" xr:uid="{00000000-0005-0000-0000-0000C7020000}"/>
    <cellStyle name="Followed Hyperlink 2 5" xfId="291" xr:uid="{00000000-0005-0000-0000-0000C8020000}"/>
    <cellStyle name="Followed Hyperlink 2 6" xfId="181" xr:uid="{00000000-0005-0000-0000-0000C9020000}"/>
    <cellStyle name="Followed Hyperlink 3" xfId="185" hidden="1" xr:uid="{00000000-0005-0000-0000-0000CA020000}"/>
    <cellStyle name="Followed Hyperlink 3" xfId="292" hidden="1" xr:uid="{00000000-0005-0000-0000-0000CB020000}"/>
    <cellStyle name="Followed Hyperlink 3" xfId="398" hidden="1" xr:uid="{00000000-0005-0000-0000-0000CC020000}"/>
    <cellStyle name="Followed Hyperlink 3" xfId="504" hidden="1" xr:uid="{00000000-0005-0000-0000-0000CD020000}"/>
    <cellStyle name="Followed Hyperlink 3" xfId="611" hidden="1" xr:uid="{00000000-0005-0000-0000-0000CE020000}"/>
    <cellStyle name="Followed Hyperlink 3" xfId="619" hidden="1" xr:uid="{00000000-0005-0000-0000-0000CF020000}"/>
    <cellStyle name="Followed Hyperlink 3" xfId="507" hidden="1" xr:uid="{00000000-0005-0000-0000-0000D0020000}"/>
    <cellStyle name="Followed Hyperlink 3" xfId="397" hidden="1" xr:uid="{00000000-0005-0000-0000-0000D1020000}"/>
    <cellStyle name="Followed Hyperlink 3" xfId="287" hidden="1" xr:uid="{00000000-0005-0000-0000-0000D2020000}"/>
    <cellStyle name="Followed Hyperlink 3" xfId="178" hidden="1" xr:uid="{00000000-0005-0000-0000-0000D3020000}"/>
    <cellStyle name="Greyed Out" xfId="127" xr:uid="{00000000-0005-0000-0000-0000D4020000}"/>
    <cellStyle name="Heading 1 2" xfId="818" xr:uid="{00000000-0005-0000-0000-0000D5020000}"/>
    <cellStyle name="Heading 1 3" xfId="64" xr:uid="{00000000-0005-0000-0000-0000D6020000}"/>
    <cellStyle name="Heading 1." xfId="4" xr:uid="{00000000-0005-0000-0000-0000D7020000}"/>
    <cellStyle name="Heading 1. 2" xfId="753" xr:uid="{00000000-0005-0000-0000-0000D8020000}"/>
    <cellStyle name="Heading 2 2" xfId="65" xr:uid="{00000000-0005-0000-0000-0000D9020000}"/>
    <cellStyle name="Heading 2." xfId="5" xr:uid="{00000000-0005-0000-0000-0000DA020000}"/>
    <cellStyle name="Heading 2. 2" xfId="759" xr:uid="{00000000-0005-0000-0000-0000DB020000}"/>
    <cellStyle name="Heading 3 2" xfId="737" xr:uid="{00000000-0005-0000-0000-0000DC020000}"/>
    <cellStyle name="Heading 3." xfId="6" xr:uid="{00000000-0005-0000-0000-0000DD020000}"/>
    <cellStyle name="Heading 3. 2" xfId="760" xr:uid="{00000000-0005-0000-0000-0000DE020000}"/>
    <cellStyle name="Heading 4." xfId="7" xr:uid="{00000000-0005-0000-0000-0000DF020000}"/>
    <cellStyle name="Heading 4. 2" xfId="761" xr:uid="{00000000-0005-0000-0000-0000E0020000}"/>
    <cellStyle name="Hyperlink" xfId="57" builtinId="8"/>
    <cellStyle name="Hyperlink 2" xfId="836" xr:uid="{00000000-0005-0000-0000-0000E2020000}"/>
    <cellStyle name="Hyperlink 3" xfId="837" xr:uid="{00000000-0005-0000-0000-0000E3020000}"/>
    <cellStyle name="Hyperlink 4" xfId="838" xr:uid="{00000000-0005-0000-0000-0000E4020000}"/>
    <cellStyle name="Hyperlink 5" xfId="839" xr:uid="{00000000-0005-0000-0000-0000E5020000}"/>
    <cellStyle name="Hyperlink 6" xfId="59" xr:uid="{00000000-0005-0000-0000-0000E6020000}"/>
    <cellStyle name="Hyperlink Arrow." xfId="28" xr:uid="{00000000-0005-0000-0000-0000E7020000}"/>
    <cellStyle name="Hyperlink Arrow. 2" xfId="748" xr:uid="{00000000-0005-0000-0000-0000E8020000}"/>
    <cellStyle name="Hyperlink Check." xfId="29" xr:uid="{00000000-0005-0000-0000-0000E9020000}"/>
    <cellStyle name="Hyperlink Check. 2" xfId="781" xr:uid="{00000000-0005-0000-0000-0000EA020000}"/>
    <cellStyle name="Hyperlink Text." xfId="27" xr:uid="{00000000-0005-0000-0000-0000EB020000}"/>
    <cellStyle name="Hyperlink Text. 2" xfId="780" xr:uid="{00000000-0005-0000-0000-0000EC020000}"/>
    <cellStyle name="Hyperlink TOC 1." xfId="30" xr:uid="{00000000-0005-0000-0000-0000ED020000}"/>
    <cellStyle name="Hyperlink TOC 1. 2" xfId="782" xr:uid="{00000000-0005-0000-0000-0000EE020000}"/>
    <cellStyle name="Hyperlink TOC 2." xfId="31" xr:uid="{00000000-0005-0000-0000-0000EF020000}"/>
    <cellStyle name="Hyperlink TOC 2. 2" xfId="783" xr:uid="{00000000-0005-0000-0000-0000F0020000}"/>
    <cellStyle name="Hyperlink TOC 3." xfId="32" xr:uid="{00000000-0005-0000-0000-0000F1020000}"/>
    <cellStyle name="Hyperlink TOC 3. 2" xfId="784" xr:uid="{00000000-0005-0000-0000-0000F2020000}"/>
    <cellStyle name="Hyperlink TOC 4." xfId="33" xr:uid="{00000000-0005-0000-0000-0000F3020000}"/>
    <cellStyle name="Hyperlink TOC 4. 2" xfId="785" xr:uid="{00000000-0005-0000-0000-0000F4020000}"/>
    <cellStyle name="Important!-Click" xfId="840" xr:uid="{00000000-0005-0000-0000-0000F5020000}"/>
    <cellStyle name="Input 2" xfId="66" xr:uid="{00000000-0005-0000-0000-0000F6020000}"/>
    <cellStyle name="Input Year" xfId="734" xr:uid="{00000000-0005-0000-0000-0000F7020000}"/>
    <cellStyle name="LCU Calc 0" xfId="810" xr:uid="{00000000-0005-0000-0000-0000F8020000}"/>
    <cellStyle name="LCU Calc 2" xfId="811" xr:uid="{00000000-0005-0000-0000-0000F9020000}"/>
    <cellStyle name="LCU Input" xfId="809" xr:uid="{00000000-0005-0000-0000-0000FA020000}"/>
    <cellStyle name="LCU Input 2" xfId="814" xr:uid="{00000000-0005-0000-0000-0000FB020000}"/>
    <cellStyle name="LCU Linked" xfId="812" xr:uid="{00000000-0005-0000-0000-0000FC020000}"/>
    <cellStyle name="LCU Linked 2" xfId="813" xr:uid="{00000000-0005-0000-0000-0000FD020000}"/>
    <cellStyle name="Linked Cell 2" xfId="61" xr:uid="{00000000-0005-0000-0000-0000FE020000}"/>
    <cellStyle name="Linked Name" xfId="119" xr:uid="{00000000-0005-0000-0000-0000FF020000}"/>
    <cellStyle name="Linked Year" xfId="750" xr:uid="{00000000-0005-0000-0000-000000030000}"/>
    <cellStyle name="Lookup Table Heading." xfId="24" xr:uid="{00000000-0005-0000-0000-000001030000}"/>
    <cellStyle name="Lookup Table Heading. 2" xfId="777" xr:uid="{00000000-0005-0000-0000-000002030000}"/>
    <cellStyle name="Lookup Table Label." xfId="26" xr:uid="{00000000-0005-0000-0000-000003030000}"/>
    <cellStyle name="Lookup Table Label. 2" xfId="779" xr:uid="{00000000-0005-0000-0000-000004030000}"/>
    <cellStyle name="Lookup Table Number." xfId="25" xr:uid="{00000000-0005-0000-0000-000005030000}"/>
    <cellStyle name="Lookup Table Number. 2" xfId="778" xr:uid="{00000000-0005-0000-0000-000006030000}"/>
    <cellStyle name="Model Name." xfId="3" xr:uid="{00000000-0005-0000-0000-000007030000}"/>
    <cellStyle name="Model Name. 2" xfId="758" xr:uid="{00000000-0005-0000-0000-000008030000}"/>
    <cellStyle name="Multiple." xfId="21" xr:uid="{00000000-0005-0000-0000-000009030000}"/>
    <cellStyle name="Multiple. 2" xfId="774" xr:uid="{00000000-0005-0000-0000-00000A030000}"/>
    <cellStyle name="NeedsWork" xfId="745" xr:uid="{00000000-0005-0000-0000-00000B030000}"/>
    <cellStyle name="Normal" xfId="0" builtinId="0" customBuiltin="1"/>
    <cellStyle name="Normal 2" xfId="710" xr:uid="{00000000-0005-0000-0000-00000D030000}"/>
    <cellStyle name="Normal 3" xfId="747" xr:uid="{00000000-0005-0000-0000-00000E030000}"/>
    <cellStyle name="Normal 3 2" xfId="841" xr:uid="{00000000-0005-0000-0000-00000F030000}"/>
    <cellStyle name="Normal 4" xfId="749" xr:uid="{00000000-0005-0000-0000-000010030000}"/>
    <cellStyle name="Normal 5" xfId="816" xr:uid="{00000000-0005-0000-0000-000011030000}"/>
    <cellStyle name="Normal 6" xfId="850" xr:uid="{00000000-0005-0000-0000-000012030000}"/>
    <cellStyle name="Normal 7" xfId="58" xr:uid="{00000000-0005-0000-0000-000013030000}"/>
    <cellStyle name="Number." xfId="19" xr:uid="{00000000-0005-0000-0000-000014030000}"/>
    <cellStyle name="Number. 2" xfId="772" xr:uid="{00000000-0005-0000-0000-000015030000}"/>
    <cellStyle name="Number-Locked BOLD" xfId="842" xr:uid="{00000000-0005-0000-0000-000016030000}"/>
    <cellStyle name="Output 2" xfId="63" xr:uid="{00000000-0005-0000-0000-000017030000}"/>
    <cellStyle name="Percent" xfId="865" builtinId="5"/>
    <cellStyle name="Percent 1" xfId="739" xr:uid="{00000000-0005-0000-0000-000019030000}"/>
    <cellStyle name="Percent 2" xfId="736" xr:uid="{00000000-0005-0000-0000-00001A030000}"/>
    <cellStyle name="Percentage." xfId="20" xr:uid="{00000000-0005-0000-0000-00001B030000}"/>
    <cellStyle name="Percentage. 2" xfId="773" xr:uid="{00000000-0005-0000-0000-00001C030000}"/>
    <cellStyle name="Period Title." xfId="23" xr:uid="{00000000-0005-0000-0000-00001D030000}"/>
    <cellStyle name="Period Title. 2" xfId="776" xr:uid="{00000000-0005-0000-0000-00001E030000}"/>
    <cellStyle name="Presentation Currency." xfId="45" xr:uid="{00000000-0005-0000-0000-00001F030000}"/>
    <cellStyle name="Presentation Currency. 2" xfId="797" xr:uid="{00000000-0005-0000-0000-000020030000}"/>
    <cellStyle name="Presentation Date." xfId="47" xr:uid="{00000000-0005-0000-0000-000021030000}"/>
    <cellStyle name="Presentation Date. 2" xfId="799" xr:uid="{00000000-0005-0000-0000-000022030000}"/>
    <cellStyle name="Presentation Heading 1." xfId="37" xr:uid="{00000000-0005-0000-0000-000023030000}"/>
    <cellStyle name="Presentation Heading 1. 2" xfId="789" xr:uid="{00000000-0005-0000-0000-000024030000}"/>
    <cellStyle name="Presentation Heading 2." xfId="38" xr:uid="{00000000-0005-0000-0000-000025030000}"/>
    <cellStyle name="Presentation Heading 2. 2" xfId="790" xr:uid="{00000000-0005-0000-0000-000026030000}"/>
    <cellStyle name="Presentation Heading 3." xfId="39" xr:uid="{00000000-0005-0000-0000-000027030000}"/>
    <cellStyle name="Presentation Heading 3. 2" xfId="791" xr:uid="{00000000-0005-0000-0000-000028030000}"/>
    <cellStyle name="Presentation Heading 4." xfId="40" xr:uid="{00000000-0005-0000-0000-000029030000}"/>
    <cellStyle name="Presentation Heading 4. 2" xfId="792" xr:uid="{00000000-0005-0000-0000-00002A030000}"/>
    <cellStyle name="Presentation Hyperlink Arrow." xfId="50" xr:uid="{00000000-0005-0000-0000-00002B030000}"/>
    <cellStyle name="Presentation Hyperlink Arrow. 2" xfId="802" xr:uid="{00000000-0005-0000-0000-00002C030000}"/>
    <cellStyle name="Presentation Hyperlink Check." xfId="51" xr:uid="{00000000-0005-0000-0000-00002D030000}"/>
    <cellStyle name="Presentation Hyperlink Check. 2" xfId="803" xr:uid="{00000000-0005-0000-0000-00002E030000}"/>
    <cellStyle name="Presentation Hyperlink Text." xfId="49" xr:uid="{00000000-0005-0000-0000-00002F030000}"/>
    <cellStyle name="Presentation Hyperlink Text. 2" xfId="801" xr:uid="{00000000-0005-0000-0000-000030030000}"/>
    <cellStyle name="Presentation Model Name." xfId="36" xr:uid="{00000000-0005-0000-0000-000031030000}"/>
    <cellStyle name="Presentation Model Name. 2" xfId="788" xr:uid="{00000000-0005-0000-0000-000032030000}"/>
    <cellStyle name="Presentation Multiple." xfId="44" xr:uid="{00000000-0005-0000-0000-000033030000}"/>
    <cellStyle name="Presentation Multiple. 2" xfId="796" xr:uid="{00000000-0005-0000-0000-000034030000}"/>
    <cellStyle name="Presentation Normal." xfId="56" xr:uid="{00000000-0005-0000-0000-000035030000}"/>
    <cellStyle name="Presentation Normal. 2" xfId="808" xr:uid="{00000000-0005-0000-0000-000036030000}"/>
    <cellStyle name="Presentation Number." xfId="42" xr:uid="{00000000-0005-0000-0000-000037030000}"/>
    <cellStyle name="Presentation Number. 2" xfId="794" xr:uid="{00000000-0005-0000-0000-000038030000}"/>
    <cellStyle name="Presentation Percentage." xfId="43" xr:uid="{00000000-0005-0000-0000-000039030000}"/>
    <cellStyle name="Presentation Percentage. 2" xfId="795" xr:uid="{00000000-0005-0000-0000-00003A030000}"/>
    <cellStyle name="Presentation Period Title." xfId="48" xr:uid="{00000000-0005-0000-0000-00003B030000}"/>
    <cellStyle name="Presentation Period Title. 2" xfId="800" xr:uid="{00000000-0005-0000-0000-00003C030000}"/>
    <cellStyle name="Presentation Section Number." xfId="35" xr:uid="{00000000-0005-0000-0000-00003D030000}"/>
    <cellStyle name="Presentation Section Number. 2" xfId="787" xr:uid="{00000000-0005-0000-0000-00003E030000}"/>
    <cellStyle name="Presentation Sheet Title." xfId="34" xr:uid="{00000000-0005-0000-0000-00003F030000}"/>
    <cellStyle name="Presentation Sheet Title. 2" xfId="786" xr:uid="{00000000-0005-0000-0000-000040030000}"/>
    <cellStyle name="Presentation Sub Total." xfId="41" xr:uid="{00000000-0005-0000-0000-000041030000}"/>
    <cellStyle name="Presentation Sub Total. 2" xfId="793" xr:uid="{00000000-0005-0000-0000-000042030000}"/>
    <cellStyle name="Presentation TOC 1." xfId="52" xr:uid="{00000000-0005-0000-0000-000043030000}"/>
    <cellStyle name="Presentation TOC 1. 2" xfId="804" xr:uid="{00000000-0005-0000-0000-000044030000}"/>
    <cellStyle name="Presentation TOC 2." xfId="53" xr:uid="{00000000-0005-0000-0000-000045030000}"/>
    <cellStyle name="Presentation TOC 2. 2" xfId="805" xr:uid="{00000000-0005-0000-0000-000046030000}"/>
    <cellStyle name="Presentation TOC 3." xfId="54" xr:uid="{00000000-0005-0000-0000-000047030000}"/>
    <cellStyle name="Presentation TOC 3. 2" xfId="806" xr:uid="{00000000-0005-0000-0000-000048030000}"/>
    <cellStyle name="Presentation TOC 4." xfId="55" xr:uid="{00000000-0005-0000-0000-000049030000}"/>
    <cellStyle name="Presentation TOC 4. 2" xfId="807" xr:uid="{00000000-0005-0000-0000-00004A030000}"/>
    <cellStyle name="Presentation Year." xfId="46" xr:uid="{00000000-0005-0000-0000-00004B030000}"/>
    <cellStyle name="Presentation Year. 2" xfId="798" xr:uid="{00000000-0005-0000-0000-00004C030000}"/>
    <cellStyle name="Section Number." xfId="2" xr:uid="{00000000-0005-0000-0000-00004D030000}"/>
    <cellStyle name="Section Number. 2" xfId="757" xr:uid="{00000000-0005-0000-0000-00004E030000}"/>
    <cellStyle name="Section_Heading" xfId="843" xr:uid="{00000000-0005-0000-0000-00004F030000}"/>
    <cellStyle name="Selection" xfId="744" xr:uid="{00000000-0005-0000-0000-000050030000}"/>
    <cellStyle name="Sheet Heading" xfId="128" xr:uid="{00000000-0005-0000-0000-000051030000}"/>
    <cellStyle name="Sheet Title." xfId="1" xr:uid="{00000000-0005-0000-0000-000052030000}"/>
    <cellStyle name="Sheet Title. 2" xfId="756" xr:uid="{00000000-0005-0000-0000-000053030000}"/>
    <cellStyle name="Sheet_Title" xfId="817" xr:uid="{00000000-0005-0000-0000-000054030000}"/>
    <cellStyle name="Sub Total." xfId="8" xr:uid="{00000000-0005-0000-0000-000055030000}"/>
    <cellStyle name="Sub Total. 2" xfId="762" xr:uid="{00000000-0005-0000-0000-000056030000}"/>
    <cellStyle name="Tab_Header" xfId="849" xr:uid="{00000000-0005-0000-0000-000057030000}"/>
    <cellStyle name="TabHeadA1" xfId="746" xr:uid="{00000000-0005-0000-0000-000058030000}"/>
    <cellStyle name="Table Header" xfId="711" xr:uid="{00000000-0005-0000-0000-000059030000}"/>
    <cellStyle name="TABLE_HEADER" xfId="844" xr:uid="{00000000-0005-0000-0000-00005A030000}"/>
    <cellStyle name="Text_Linked" xfId="845" xr:uid="{00000000-0005-0000-0000-00005B030000}"/>
    <cellStyle name="Text-Locked" xfId="846" xr:uid="{00000000-0005-0000-0000-00005C030000}"/>
    <cellStyle name="Text-Locked 2" xfId="851" xr:uid="{00000000-0005-0000-0000-00005D030000}"/>
    <cellStyle name="Text-Locked BOLD" xfId="847" xr:uid="{00000000-0005-0000-0000-00005E030000}"/>
    <cellStyle name="Tip" xfId="751" xr:uid="{00000000-0005-0000-0000-00005F030000}"/>
    <cellStyle name="Year." xfId="17" xr:uid="{00000000-0005-0000-0000-000060030000}"/>
    <cellStyle name="Year. 2" xfId="770" xr:uid="{00000000-0005-0000-0000-000061030000}"/>
    <cellStyle name="YR Linked" xfId="848" xr:uid="{00000000-0005-0000-0000-000062030000}"/>
  </cellStyles>
  <dxfs count="18">
    <dxf>
      <font>
        <b/>
        <i val="0"/>
        <color indexed="58"/>
      </font>
    </dxf>
    <dxf>
      <font>
        <b/>
        <i val="0"/>
        <color indexed="58"/>
      </font>
    </dxf>
    <dxf>
      <font>
        <b/>
        <i val="0"/>
        <color indexed="58"/>
      </font>
    </dxf>
    <dxf>
      <font>
        <b/>
        <i/>
        <color indexed="58"/>
      </font>
    </dxf>
    <dxf>
      <font>
        <b/>
        <i/>
        <color indexed="58"/>
      </font>
    </dxf>
    <dxf>
      <font>
        <b/>
        <i/>
        <color indexed="58"/>
      </font>
    </dxf>
    <dxf>
      <font>
        <b/>
        <i val="0"/>
        <color indexed="58"/>
      </font>
    </dxf>
    <dxf>
      <font>
        <b/>
        <i val="0"/>
        <color indexed="58"/>
      </font>
    </dxf>
    <dxf>
      <font>
        <b/>
        <i val="0"/>
        <color indexed="58"/>
      </font>
    </dxf>
    <dxf>
      <font>
        <b/>
        <i/>
        <color indexed="58"/>
      </font>
    </dxf>
    <dxf>
      <font>
        <color rgb="FFC00000"/>
      </font>
    </dxf>
    <dxf>
      <font>
        <color rgb="FFC00000"/>
      </font>
    </dxf>
    <dxf>
      <font>
        <color rgb="FFC00000"/>
      </font>
    </dxf>
    <dxf>
      <font>
        <color rgb="FFC00000"/>
      </font>
    </dxf>
    <dxf>
      <numFmt numFmtId="10" formatCode="&quot;$&quot;#,##0_);[Red]\(&quot;$&quot;#,##0\)"/>
    </dxf>
    <dxf>
      <font>
        <color rgb="FF006100"/>
      </font>
      <fill>
        <patternFill>
          <bgColor rgb="FFC6EFCE"/>
        </patternFill>
      </fill>
    </dxf>
    <dxf>
      <font>
        <color rgb="FFFF0000"/>
      </font>
      <fill>
        <patternFill>
          <bgColor theme="5" tint="0.79998168889431442"/>
        </patternFill>
      </fill>
    </dxf>
    <dxf>
      <font>
        <b val="0"/>
        <i/>
        <strike/>
        <color rgb="FFFF0000"/>
      </font>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FFFF9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93366"/>
      <rgbColor rgb="00339966"/>
      <rgbColor rgb="00CB2840"/>
      <rgbColor rgb="00217346"/>
      <rgbColor rgb="00255E91"/>
      <rgbColor rgb="00993366"/>
      <rgbColor rgb="00FFFF78"/>
      <rgbColor rgb="00FFFFFF"/>
    </indexedColors>
    <mruColors>
      <color rgb="FFCC99FF"/>
      <color rgb="FFFFCCFF"/>
      <color rgb="FFD4FED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14"/>
          <c:dLbls>
            <c:dLbl>
              <c:idx val="0"/>
              <c:layout>
                <c:manualLayout>
                  <c:x val="0.17237510683521456"/>
                  <c:y val="6.1224166386316579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54-4C0D-AB38-91E8847153EA}"/>
                </c:ext>
              </c:extLst>
            </c:dLbl>
            <c:dLbl>
              <c:idx val="1"/>
              <c:layout>
                <c:manualLayout>
                  <c:x val="2.1436646876186911E-2"/>
                  <c:y val="1.2106501557800043E-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54-4C0D-AB38-91E8847153EA}"/>
                </c:ext>
              </c:extLst>
            </c:dLbl>
            <c:dLbl>
              <c:idx val="2"/>
              <c:layout>
                <c:manualLayout>
                  <c:x val="0.68035748763288662"/>
                  <c:y val="3.4566422500727147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54-4C0D-AB38-91E8847153EA}"/>
                </c:ext>
              </c:extLst>
            </c:dLbl>
            <c:dLbl>
              <c:idx val="3"/>
              <c:layout>
                <c:manualLayout>
                  <c:x val="-0.10696713467848885"/>
                  <c:y val="7.3722222644077101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54-4C0D-AB38-91E8847153EA}"/>
                </c:ext>
              </c:extLst>
            </c:dLbl>
            <c:dLbl>
              <c:idx val="4"/>
              <c:layout>
                <c:manualLayout>
                  <c:x val="-3.2259059393830843E-2"/>
                  <c:y val="0.61403931592158478"/>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54-4C0D-AB38-91E8847153EA}"/>
                </c:ext>
              </c:extLst>
            </c:dLbl>
            <c:dLbl>
              <c:idx val="6"/>
              <c:layout>
                <c:manualLayout>
                  <c:x val="8.5717476270240095E-2"/>
                  <c:y val="-0.3983234289438849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54-4C0D-AB38-91E8847153EA}"/>
                </c:ext>
              </c:extLst>
            </c:dLbl>
            <c:dLbl>
              <c:idx val="7"/>
              <c:layout>
                <c:manualLayout>
                  <c:x val="0.13749053111518852"/>
                  <c:y val="-2.2633248276383473E-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54-4C0D-AB38-91E8847153EA}"/>
                </c:ext>
              </c:extLst>
            </c:dLbl>
            <c:spPr>
              <a:noFill/>
              <a:ln>
                <a:noFill/>
              </a:ln>
              <a:effectLst/>
            </c:spPr>
            <c:showLegendKey val="1"/>
            <c:showVal val="0"/>
            <c:showCatName val="1"/>
            <c:showSerName val="0"/>
            <c:showPercent val="1"/>
            <c:showBubbleSize val="0"/>
            <c:showLeaderLines val="1"/>
            <c:extLst>
              <c:ext xmlns:c15="http://schemas.microsoft.com/office/drawing/2012/chart" uri="{CE6537A1-D6FC-4f65-9D91-7224C49458BB}"/>
            </c:extLst>
          </c:dLbls>
          <c:cat>
            <c:strRef>
              <c:f>DASHBOARD!$F$50:$F$57</c:f>
              <c:strCache>
                <c:ptCount val="8"/>
                <c:pt idx="0">
                  <c:v>Microplanning</c:v>
                </c:pt>
                <c:pt idx="1">
                  <c:v>Procurement</c:v>
                </c:pt>
                <c:pt idx="2">
                  <c:v>Distribution</c:v>
                </c:pt>
                <c:pt idx="3">
                  <c:v>Training</c:v>
                </c:pt>
                <c:pt idx="4">
                  <c:v>Social Mobilisation / IEC</c:v>
                </c:pt>
                <c:pt idx="5">
                  <c:v>Immunization Activities</c:v>
                </c:pt>
                <c:pt idx="6">
                  <c:v>Supervision and Monitoring Activities</c:v>
                </c:pt>
                <c:pt idx="7">
                  <c:v>Other Activities</c:v>
                </c:pt>
              </c:strCache>
            </c:strRef>
          </c:cat>
          <c:val>
            <c:numRef>
              <c:f>DASHBOARD!$J$50:$J$57</c:f>
              <c:numCache>
                <c:formatCode>_(#,##0_);\(#,##0\);_("-"_);_)@_)</c:formatCode>
                <c:ptCount val="8"/>
                <c:pt idx="0">
                  <c:v>546.72</c:v>
                </c:pt>
                <c:pt idx="1">
                  <c:v>72386.429999999993</c:v>
                </c:pt>
                <c:pt idx="2">
                  <c:v>1837.3333333333333</c:v>
                </c:pt>
                <c:pt idx="3">
                  <c:v>213.40666666666669</c:v>
                </c:pt>
                <c:pt idx="4">
                  <c:v>346.74</c:v>
                </c:pt>
                <c:pt idx="5">
                  <c:v>0</c:v>
                </c:pt>
                <c:pt idx="6">
                  <c:v>10280.073333333334</c:v>
                </c:pt>
                <c:pt idx="7">
                  <c:v>0</c:v>
                </c:pt>
              </c:numCache>
            </c:numRef>
          </c:val>
          <c:extLst>
            <c:ext xmlns:c16="http://schemas.microsoft.com/office/drawing/2014/chart" uri="{C3380CC4-5D6E-409C-BE32-E72D297353CC}">
              <c16:uniqueId val="{00000007-2F54-4C0D-AB38-91E8847153EA}"/>
            </c:ext>
          </c:extLst>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1"/>
            <c:bubble3D val="0"/>
            <c:explosion val="8"/>
            <c:extLst>
              <c:ext xmlns:c16="http://schemas.microsoft.com/office/drawing/2014/chart" uri="{C3380CC4-5D6E-409C-BE32-E72D297353CC}">
                <c16:uniqueId val="{00000000-C96F-4F31-86A9-EBDD06DCC8A2}"/>
              </c:ext>
            </c:extLst>
          </c:dPt>
          <c:dPt>
            <c:idx val="2"/>
            <c:bubble3D val="0"/>
            <c:explosion val="14"/>
            <c:extLst>
              <c:ext xmlns:c16="http://schemas.microsoft.com/office/drawing/2014/chart" uri="{C3380CC4-5D6E-409C-BE32-E72D297353CC}">
                <c16:uniqueId val="{00000001-C96F-4F31-86A9-EBDD06DCC8A2}"/>
              </c:ext>
            </c:extLst>
          </c:dPt>
          <c:dPt>
            <c:idx val="3"/>
            <c:bubble3D val="0"/>
            <c:explosion val="20"/>
            <c:extLst>
              <c:ext xmlns:c16="http://schemas.microsoft.com/office/drawing/2014/chart" uri="{C3380CC4-5D6E-409C-BE32-E72D297353CC}">
                <c16:uniqueId val="{00000002-C96F-4F31-86A9-EBDD06DCC8A2}"/>
              </c:ext>
            </c:extLst>
          </c:dPt>
          <c:dLbls>
            <c:dLbl>
              <c:idx val="0"/>
              <c:layout>
                <c:manualLayout>
                  <c:x val="0.29743940025412746"/>
                  <c:y val="-2.3074010159959773E-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F-4F31-86A9-EBDD06DCC8A2}"/>
                </c:ext>
              </c:extLst>
            </c:dLbl>
            <c:dLbl>
              <c:idx val="1"/>
              <c:layout>
                <c:manualLayout>
                  <c:x val="-5.4920189882272909E-2"/>
                  <c:y val="0.15001176975908145"/>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6F-4F31-86A9-EBDD06DCC8A2}"/>
                </c:ext>
              </c:extLst>
            </c:dLbl>
            <c:dLbl>
              <c:idx val="2"/>
              <c:layout>
                <c:manualLayout>
                  <c:x val="0.20013500124142725"/>
                  <c:y val="0.1759570728988834"/>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F-4F31-86A9-EBDD06DCC8A2}"/>
                </c:ext>
              </c:extLst>
            </c:dLbl>
            <c:dLbl>
              <c:idx val="3"/>
              <c:layout>
                <c:manualLayout>
                  <c:x val="0"/>
                  <c:y val="-0.2142437104594239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6F-4F31-86A9-EBDD06DCC8A2}"/>
                </c:ext>
              </c:extLst>
            </c:dLbl>
            <c:dLbl>
              <c:idx val="4"/>
              <c:layout>
                <c:manualLayout>
                  <c:x val="0"/>
                  <c:y val="0.18029950322702692"/>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6F-4F31-86A9-EBDD06DCC8A2}"/>
                </c:ext>
              </c:extLst>
            </c:dLbl>
            <c:dLbl>
              <c:idx val="5"/>
              <c:layout>
                <c:manualLayout>
                  <c:x val="8.5625669793906144E-3"/>
                  <c:y val="-0.13727434829704957"/>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F-4F31-86A9-EBDD06DCC8A2}"/>
                </c:ext>
              </c:extLst>
            </c:dLbl>
            <c:dLbl>
              <c:idx val="6"/>
              <c:layout>
                <c:manualLayout>
                  <c:x val="5.4644070221812245E-2"/>
                  <c:y val="1.0482183754166874E-3"/>
                </c:manualLayout>
              </c:layout>
              <c:showLegendKey val="1"/>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6F-4F31-86A9-EBDD06DCC8A2}"/>
                </c:ext>
              </c:extLst>
            </c:dLbl>
            <c:spPr>
              <a:noFill/>
              <a:ln>
                <a:noFill/>
              </a:ln>
              <a:effectLst/>
            </c:spPr>
            <c:showLegendKey val="1"/>
            <c:showVal val="0"/>
            <c:showCatName val="1"/>
            <c:showSerName val="0"/>
            <c:showPercent val="1"/>
            <c:showBubbleSize val="0"/>
            <c:showLeaderLines val="1"/>
            <c:extLst>
              <c:ext xmlns:c15="http://schemas.microsoft.com/office/drawing/2012/chart" uri="{CE6537A1-D6FC-4f65-9D91-7224C49458BB}"/>
            </c:extLst>
          </c:dLbls>
          <c:cat>
            <c:strRef>
              <c:f>DASHBOARD!$F$50:$F$57</c:f>
              <c:strCache>
                <c:ptCount val="8"/>
                <c:pt idx="0">
                  <c:v>Microplanning</c:v>
                </c:pt>
                <c:pt idx="1">
                  <c:v>Procurement</c:v>
                </c:pt>
                <c:pt idx="2">
                  <c:v>Distribution</c:v>
                </c:pt>
                <c:pt idx="3">
                  <c:v>Training</c:v>
                </c:pt>
                <c:pt idx="4">
                  <c:v>Social Mobilisation / IEC</c:v>
                </c:pt>
                <c:pt idx="5">
                  <c:v>Immunization Activities</c:v>
                </c:pt>
                <c:pt idx="6">
                  <c:v>Supervision and Monitoring Activities</c:v>
                </c:pt>
                <c:pt idx="7">
                  <c:v>Other Activities</c:v>
                </c:pt>
              </c:strCache>
            </c:strRef>
          </c:cat>
          <c:val>
            <c:numRef>
              <c:f>DASHBOARD!$N$50:$N$57</c:f>
              <c:numCache>
                <c:formatCode>_(#,##0_);\(#,##0\);_("-"_);_)@_)</c:formatCode>
                <c:ptCount val="8"/>
                <c:pt idx="0">
                  <c:v>1661.8666666666668</c:v>
                </c:pt>
                <c:pt idx="1">
                  <c:v>74055.929999999993</c:v>
                </c:pt>
                <c:pt idx="2">
                  <c:v>10266.675848484849</c:v>
                </c:pt>
                <c:pt idx="3">
                  <c:v>370.74666666666667</c:v>
                </c:pt>
                <c:pt idx="4">
                  <c:v>637.41333333333341</c:v>
                </c:pt>
                <c:pt idx="5">
                  <c:v>11523.56</c:v>
                </c:pt>
                <c:pt idx="6">
                  <c:v>15537.413333333332</c:v>
                </c:pt>
                <c:pt idx="7">
                  <c:v>0</c:v>
                </c:pt>
              </c:numCache>
            </c:numRef>
          </c:val>
          <c:extLst>
            <c:ext xmlns:c16="http://schemas.microsoft.com/office/drawing/2014/chart" uri="{C3380CC4-5D6E-409C-BE32-E72D297353CC}">
              <c16:uniqueId val="{00000007-C96F-4F31-86A9-EBDD06DCC8A2}"/>
            </c:ext>
          </c:extLst>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0367377806587735"/>
          <c:y val="4.4926729049147233E-2"/>
          <c:w val="0.68325001747662895"/>
          <c:h val="0.85370089036504204"/>
        </c:manualLayout>
      </c:layout>
      <c:barChart>
        <c:barDir val="col"/>
        <c:grouping val="clustered"/>
        <c:varyColors val="0"/>
        <c:ser>
          <c:idx val="0"/>
          <c:order val="0"/>
          <c:tx>
            <c:strRef>
              <c:f>Graphs!$H$46:$H$47</c:f>
              <c:strCache>
                <c:ptCount val="2"/>
                <c:pt idx="0">
                  <c:v>USD</c:v>
                </c:pt>
                <c:pt idx="1">
                  <c:v>Financial</c:v>
                </c:pt>
              </c:strCache>
            </c:strRef>
          </c:tx>
          <c:invertIfNegative val="0"/>
          <c:cat>
            <c:strRef>
              <c:f>Graphs!$G$48</c:f>
              <c:strCache>
                <c:ptCount val="1"/>
                <c:pt idx="0">
                  <c:v>TOTAL RECURRENT COSTS</c:v>
                </c:pt>
              </c:strCache>
            </c:strRef>
          </c:cat>
          <c:val>
            <c:numRef>
              <c:f>Graphs!$H$48</c:f>
              <c:numCache>
                <c:formatCode>_("$"* #,##0_);_("$"* \(#,##0\);_("$"* "-"??_);_(@_)</c:formatCode>
                <c:ptCount val="1"/>
                <c:pt idx="0">
                  <c:v>85610.703333333324</c:v>
                </c:pt>
              </c:numCache>
            </c:numRef>
          </c:val>
          <c:extLst>
            <c:ext xmlns:c16="http://schemas.microsoft.com/office/drawing/2014/chart" uri="{C3380CC4-5D6E-409C-BE32-E72D297353CC}">
              <c16:uniqueId val="{00000000-F9F3-4B4D-B527-EAEF26FB4DD5}"/>
            </c:ext>
          </c:extLst>
        </c:ser>
        <c:ser>
          <c:idx val="1"/>
          <c:order val="1"/>
          <c:tx>
            <c:strRef>
              <c:f>Graphs!$J$46:$J$47</c:f>
              <c:strCache>
                <c:ptCount val="2"/>
                <c:pt idx="0">
                  <c:v>USD</c:v>
                </c:pt>
                <c:pt idx="1">
                  <c:v>Economic</c:v>
                </c:pt>
              </c:strCache>
            </c:strRef>
          </c:tx>
          <c:invertIfNegative val="0"/>
          <c:cat>
            <c:strRef>
              <c:f>Graphs!$G$48</c:f>
              <c:strCache>
                <c:ptCount val="1"/>
                <c:pt idx="0">
                  <c:v>TOTAL RECURRENT COSTS</c:v>
                </c:pt>
              </c:strCache>
            </c:strRef>
          </c:cat>
          <c:val>
            <c:numRef>
              <c:f>Graphs!$J$48</c:f>
              <c:numCache>
                <c:formatCode>_("$"* #,##0_);_("$"* \(#,##0\);_("$"* "-"??_);_(@_)</c:formatCode>
                <c:ptCount val="1"/>
                <c:pt idx="0">
                  <c:v>114053.60584848485</c:v>
                </c:pt>
              </c:numCache>
            </c:numRef>
          </c:val>
          <c:extLst>
            <c:ext xmlns:c16="http://schemas.microsoft.com/office/drawing/2014/chart" uri="{C3380CC4-5D6E-409C-BE32-E72D297353CC}">
              <c16:uniqueId val="{00000001-F9F3-4B4D-B527-EAEF26FB4DD5}"/>
            </c:ext>
          </c:extLst>
        </c:ser>
        <c:dLbls>
          <c:showLegendKey val="0"/>
          <c:showVal val="0"/>
          <c:showCatName val="0"/>
          <c:showSerName val="0"/>
          <c:showPercent val="0"/>
          <c:showBubbleSize val="0"/>
        </c:dLbls>
        <c:gapWidth val="100"/>
        <c:axId val="141323648"/>
        <c:axId val="141329536"/>
      </c:barChart>
      <c:catAx>
        <c:axId val="141323648"/>
        <c:scaling>
          <c:orientation val="minMax"/>
        </c:scaling>
        <c:delete val="0"/>
        <c:axPos val="b"/>
        <c:numFmt formatCode="General" sourceLinked="0"/>
        <c:majorTickMark val="out"/>
        <c:minorTickMark val="none"/>
        <c:tickLblPos val="nextTo"/>
        <c:crossAx val="141329536"/>
        <c:crosses val="autoZero"/>
        <c:auto val="1"/>
        <c:lblAlgn val="ctr"/>
        <c:lblOffset val="100"/>
        <c:noMultiLvlLbl val="0"/>
      </c:catAx>
      <c:valAx>
        <c:axId val="141329536"/>
        <c:scaling>
          <c:orientation val="minMax"/>
        </c:scaling>
        <c:delete val="0"/>
        <c:axPos val="l"/>
        <c:majorGridlines/>
        <c:numFmt formatCode="#,##0" sourceLinked="0"/>
        <c:majorTickMark val="out"/>
        <c:minorTickMark val="none"/>
        <c:tickLblPos val="nextTo"/>
        <c:crossAx val="1413236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0367377806587735"/>
          <c:y val="4.4926729049147233E-2"/>
          <c:w val="0.68325001747662895"/>
          <c:h val="0.85370089036504204"/>
        </c:manualLayout>
      </c:layout>
      <c:barChart>
        <c:barDir val="col"/>
        <c:grouping val="clustered"/>
        <c:varyColors val="0"/>
        <c:ser>
          <c:idx val="2"/>
          <c:order val="0"/>
          <c:tx>
            <c:strRef>
              <c:f>Graphs!$AC$46:$AC$47</c:f>
              <c:strCache>
                <c:ptCount val="2"/>
                <c:pt idx="0">
                  <c:v>GOZ</c:v>
                </c:pt>
                <c:pt idx="1">
                  <c:v>Financial</c:v>
                </c:pt>
              </c:strCache>
            </c:strRef>
          </c:tx>
          <c:invertIfNegative val="0"/>
          <c:cat>
            <c:strRef>
              <c:f>Graphs!$G$48</c:f>
              <c:strCache>
                <c:ptCount val="1"/>
                <c:pt idx="0">
                  <c:v>TOTAL RECURRENT COSTS</c:v>
                </c:pt>
              </c:strCache>
            </c:strRef>
          </c:cat>
          <c:val>
            <c:numRef>
              <c:f>Graphs!$AC$48</c:f>
              <c:numCache>
                <c:formatCode>_(* #,##0_);_(* \(#,##0\);_(* "-"??_);_(@_)</c:formatCode>
                <c:ptCount val="1"/>
                <c:pt idx="0">
                  <c:v>12841605.499999998</c:v>
                </c:pt>
              </c:numCache>
            </c:numRef>
          </c:val>
          <c:extLst>
            <c:ext xmlns:c16="http://schemas.microsoft.com/office/drawing/2014/chart" uri="{C3380CC4-5D6E-409C-BE32-E72D297353CC}">
              <c16:uniqueId val="{00000000-30C1-4200-BA43-720EC5DAC95A}"/>
            </c:ext>
          </c:extLst>
        </c:ser>
        <c:ser>
          <c:idx val="3"/>
          <c:order val="1"/>
          <c:tx>
            <c:strRef>
              <c:f>Graphs!$AE$46:$AE$47</c:f>
              <c:strCache>
                <c:ptCount val="2"/>
                <c:pt idx="0">
                  <c:v>GOZ</c:v>
                </c:pt>
                <c:pt idx="1">
                  <c:v>Economic</c:v>
                </c:pt>
              </c:strCache>
            </c:strRef>
          </c:tx>
          <c:invertIfNegative val="0"/>
          <c:cat>
            <c:strRef>
              <c:f>Graphs!$G$48</c:f>
              <c:strCache>
                <c:ptCount val="1"/>
                <c:pt idx="0">
                  <c:v>TOTAL RECURRENT COSTS</c:v>
                </c:pt>
              </c:strCache>
            </c:strRef>
          </c:cat>
          <c:val>
            <c:numRef>
              <c:f>Graphs!$AE$48</c:f>
              <c:numCache>
                <c:formatCode>_(* #,##0_);_(* \(#,##0\);_(* "-"??_);_(@_)</c:formatCode>
                <c:ptCount val="1"/>
                <c:pt idx="0">
                  <c:v>17108040.877272729</c:v>
                </c:pt>
              </c:numCache>
            </c:numRef>
          </c:val>
          <c:extLst>
            <c:ext xmlns:c16="http://schemas.microsoft.com/office/drawing/2014/chart" uri="{C3380CC4-5D6E-409C-BE32-E72D297353CC}">
              <c16:uniqueId val="{00000001-30C1-4200-BA43-720EC5DAC95A}"/>
            </c:ext>
          </c:extLst>
        </c:ser>
        <c:dLbls>
          <c:showLegendKey val="0"/>
          <c:showVal val="0"/>
          <c:showCatName val="0"/>
          <c:showSerName val="0"/>
          <c:showPercent val="0"/>
          <c:showBubbleSize val="0"/>
        </c:dLbls>
        <c:gapWidth val="100"/>
        <c:axId val="141350400"/>
        <c:axId val="141351936"/>
      </c:barChart>
      <c:catAx>
        <c:axId val="141350400"/>
        <c:scaling>
          <c:orientation val="minMax"/>
        </c:scaling>
        <c:delete val="0"/>
        <c:axPos val="b"/>
        <c:numFmt formatCode="General" sourceLinked="0"/>
        <c:majorTickMark val="out"/>
        <c:minorTickMark val="none"/>
        <c:tickLblPos val="nextTo"/>
        <c:crossAx val="141351936"/>
        <c:crosses val="autoZero"/>
        <c:auto val="1"/>
        <c:lblAlgn val="ctr"/>
        <c:lblOffset val="100"/>
        <c:noMultiLvlLbl val="0"/>
      </c:catAx>
      <c:valAx>
        <c:axId val="141351936"/>
        <c:scaling>
          <c:orientation val="minMax"/>
        </c:scaling>
        <c:delete val="0"/>
        <c:axPos val="l"/>
        <c:majorGridlines/>
        <c:numFmt formatCode="#,##0" sourceLinked="0"/>
        <c:majorTickMark val="out"/>
        <c:minorTickMark val="none"/>
        <c:tickLblPos val="nextTo"/>
        <c:crossAx val="1413504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Lines="2" dropStyle="combo" dx="16" fmlaLink="$J$2" fmlaRange="LU_FLU_Curr_Code" noThreeD="1" sel="1" val="0"/>
</file>

<file path=xl/ctrlProps/ctrlProp10.xml><?xml version="1.0" encoding="utf-8"?>
<formControlPr xmlns="http://schemas.microsoft.com/office/spreadsheetml/2009/9/main" objectType="Drop" dropLines="20" dropStyle="combo" dx="16" fmlaLink="$G$30" fmlaRange="LU_FLU_Curr_Code" noThreeD="1" sel="2" val="0"/>
</file>

<file path=xl/ctrlProps/ctrlProp100.xml><?xml version="1.0" encoding="utf-8"?>
<formControlPr xmlns="http://schemas.microsoft.com/office/spreadsheetml/2009/9/main" objectType="Drop" dropLines="20" dropStyle="combo" dx="20" fmlaLink="DD_FLU_Micro_Pers_Time_Unit_7" fmlaRange="LU_FLU_Personnel_Unit_Cost_Categories" noThreeD="1" sel="2" val="0"/>
</file>

<file path=xl/ctrlProps/ctrlProp1000.xml><?xml version="1.0" encoding="utf-8"?>
<formControlPr xmlns="http://schemas.microsoft.com/office/spreadsheetml/2009/9/main" objectType="Drop" dropLines="20" dropStyle="combo" dx="16" fmlaLink="$I$101" fmlaRange="LU_FLU_Personnel_Unit_Cost_Categories" noThreeD="1" sel="1" val="0"/>
</file>

<file path=xl/ctrlProps/ctrlProp1001.xml><?xml version="1.0" encoding="utf-8"?>
<formControlPr xmlns="http://schemas.microsoft.com/office/spreadsheetml/2009/9/main" objectType="Drop" dropLines="20" dropStyle="combo" dx="16" fmlaLink="$I$102" fmlaRange="LU_FLU_Personnel_Unit_Cost_Categories" noThreeD="1" sel="1" val="0"/>
</file>

<file path=xl/ctrlProps/ctrlProp1002.xml><?xml version="1.0" encoding="utf-8"?>
<formControlPr xmlns="http://schemas.microsoft.com/office/spreadsheetml/2009/9/main" objectType="Drop" dropLines="20" dropStyle="combo" dx="16" fmlaLink="$I$103" fmlaRange="LU_FLU_Personnel_Unit_Cost_Categories" noThreeD="1" sel="1" val="0"/>
</file>

<file path=xl/ctrlProps/ctrlProp1003.xml><?xml version="1.0" encoding="utf-8"?>
<formControlPr xmlns="http://schemas.microsoft.com/office/spreadsheetml/2009/9/main" objectType="Drop" dropLines="20" dropStyle="combo" dx="16" fmlaLink="$I$104" fmlaRange="LU_FLU_Personnel_Unit_Cost_Categories" noThreeD="1" sel="1" val="0"/>
</file>

<file path=xl/ctrlProps/ctrlProp1004.xml><?xml version="1.0" encoding="utf-8"?>
<formControlPr xmlns="http://schemas.microsoft.com/office/spreadsheetml/2009/9/main" objectType="Drop" dropLines="20" dropStyle="combo" dx="16" fmlaLink="$I$105" fmlaRange="LU_FLU_Personnel_Unit_Cost_Categories" noThreeD="1" sel="1" val="0"/>
</file>

<file path=xl/ctrlProps/ctrlProp1005.xml><?xml version="1.0" encoding="utf-8"?>
<formControlPr xmlns="http://schemas.microsoft.com/office/spreadsheetml/2009/9/main" objectType="Drop" dropLines="20" dropStyle="combo" dx="16" fmlaLink="$I$106" fmlaRange="LU_FLU_Personnel_Unit_Cost_Categories" noThreeD="1" sel="1" val="0"/>
</file>

<file path=xl/ctrlProps/ctrlProp1006.xml><?xml version="1.0" encoding="utf-8"?>
<formControlPr xmlns="http://schemas.microsoft.com/office/spreadsheetml/2009/9/main" objectType="Drop" dropLines="20" dropStyle="combo" dx="16" fmlaLink="$I$107" fmlaRange="LU_FLU_Personnel_Unit_Cost_Categories" noThreeD="1" sel="1" val="0"/>
</file>

<file path=xl/ctrlProps/ctrlProp1007.xml><?xml version="1.0" encoding="utf-8"?>
<formControlPr xmlns="http://schemas.microsoft.com/office/spreadsheetml/2009/9/main" objectType="Drop" dropLines="20" dropStyle="combo" dx="16" fmlaLink="$I$108" fmlaRange="LU_FLU_Personnel_Unit_Cost_Categories" noThreeD="1" sel="1" val="0"/>
</file>

<file path=xl/ctrlProps/ctrlProp1008.xml><?xml version="1.0" encoding="utf-8"?>
<formControlPr xmlns="http://schemas.microsoft.com/office/spreadsheetml/2009/9/main" objectType="Drop" dropLines="20" dropStyle="combo" dx="16" fmlaLink="$I$109" fmlaRange="LU_FLU_Personnel_Unit_Cost_Categories" noThreeD="1" sel="1" val="0"/>
</file>

<file path=xl/ctrlProps/ctrlProp1009.xml><?xml version="1.0" encoding="utf-8"?>
<formControlPr xmlns="http://schemas.microsoft.com/office/spreadsheetml/2009/9/main" objectType="Drop" dropLines="20" dropStyle="combo" dx="16" fmlaLink="$D$114" fmlaRange="LU_FLU_RECC_PRICES_GROUP_C" noThreeD="1" sel="1" val="0"/>
</file>

<file path=xl/ctrlProps/ctrlProp101.xml><?xml version="1.0" encoding="utf-8"?>
<formControlPr xmlns="http://schemas.microsoft.com/office/spreadsheetml/2009/9/main" objectType="Drop" dropLines="20" dropStyle="combo" dx="20" fmlaLink="DD_FLU_Micro_Pers_Time_Unit_8" fmlaRange="LU_FLU_Personnel_Unit_Cost_Categories" noThreeD="1" sel="2" val="0"/>
</file>

<file path=xl/ctrlProps/ctrlProp1010.xml><?xml version="1.0" encoding="utf-8"?>
<formControlPr xmlns="http://schemas.microsoft.com/office/spreadsheetml/2009/9/main" objectType="Drop" dropLines="20" dropStyle="combo" dx="16" fmlaLink="$D$115" fmlaRange="LU_FLU_RECC_PRICES_GROUP_C" noThreeD="1" sel="1" val="0"/>
</file>

<file path=xl/ctrlProps/ctrlProp1011.xml><?xml version="1.0" encoding="utf-8"?>
<formControlPr xmlns="http://schemas.microsoft.com/office/spreadsheetml/2009/9/main" objectType="Drop" dropLines="20" dropStyle="combo" dx="16" fmlaLink="$D$116" fmlaRange="LU_FLU_RECC_PRICES_GROUP_C" noThreeD="1" sel="1" val="0"/>
</file>

<file path=xl/ctrlProps/ctrlProp1012.xml><?xml version="1.0" encoding="utf-8"?>
<formControlPr xmlns="http://schemas.microsoft.com/office/spreadsheetml/2009/9/main" objectType="Drop" dropLines="20" dropStyle="combo" dx="16" fmlaLink="$D$117" fmlaRange="LU_FLU_RECC_PRICES_GROUP_C" noThreeD="1" sel="1" val="0"/>
</file>

<file path=xl/ctrlProps/ctrlProp1013.xml><?xml version="1.0" encoding="utf-8"?>
<formControlPr xmlns="http://schemas.microsoft.com/office/spreadsheetml/2009/9/main" objectType="Drop" dropLines="20" dropStyle="combo" dx="16" fmlaLink="$D$118" fmlaRange="LU_FLU_RECC_PRICES_GROUP_C" noThreeD="1" sel="1" val="0"/>
</file>

<file path=xl/ctrlProps/ctrlProp1014.xml><?xml version="1.0" encoding="utf-8"?>
<formControlPr xmlns="http://schemas.microsoft.com/office/spreadsheetml/2009/9/main" objectType="Drop" dropLines="20" dropStyle="combo" dx="16" fmlaLink="$D$119" fmlaRange="LU_FLU_RECC_PRICES_GROUP_C" noThreeD="1" sel="1" val="0"/>
</file>

<file path=xl/ctrlProps/ctrlProp1015.xml><?xml version="1.0" encoding="utf-8"?>
<formControlPr xmlns="http://schemas.microsoft.com/office/spreadsheetml/2009/9/main" objectType="Drop" dropLines="20" dropStyle="combo" dx="16" fmlaLink="$D$120" fmlaRange="LU_FLU_RECC_PRICES_GROUP_C" noThreeD="1" sel="1" val="0"/>
</file>

<file path=xl/ctrlProps/ctrlProp1016.xml><?xml version="1.0" encoding="utf-8"?>
<formControlPr xmlns="http://schemas.microsoft.com/office/spreadsheetml/2009/9/main" objectType="Drop" dropLines="20" dropStyle="combo" dx="16" fmlaLink="$D$121" fmlaRange="LU_FLU_RECC_PRICES_GROUP_C" noThreeD="1" sel="1" val="0"/>
</file>

<file path=xl/ctrlProps/ctrlProp1017.xml><?xml version="1.0" encoding="utf-8"?>
<formControlPr xmlns="http://schemas.microsoft.com/office/spreadsheetml/2009/9/main" objectType="Drop" dropLines="20" dropStyle="combo" dx="16" fmlaLink="$D$122" fmlaRange="LU_FLU_RECC_PRICES_GROUP_C" noThreeD="1" sel="1" val="0"/>
</file>

<file path=xl/ctrlProps/ctrlProp1018.xml><?xml version="1.0" encoding="utf-8"?>
<formControlPr xmlns="http://schemas.microsoft.com/office/spreadsheetml/2009/9/main" objectType="Drop" dropLines="20" dropStyle="combo" dx="16" fmlaLink="$D$123" fmlaRange="LU_FLU_RECC_PRICES_GROUP_C" noThreeD="1" sel="1" val="0"/>
</file>

<file path=xl/ctrlProps/ctrlProp1019.xml><?xml version="1.0" encoding="utf-8"?>
<formControlPr xmlns="http://schemas.microsoft.com/office/spreadsheetml/2009/9/main" objectType="Drop" dropLines="20" dropStyle="combo" dx="16" fmlaLink="$D$124" fmlaRange="LU_FLU_RECC_PRICES_GROUP_C" noThreeD="1" sel="1" val="0"/>
</file>

<file path=xl/ctrlProps/ctrlProp102.xml><?xml version="1.0" encoding="utf-8"?>
<formControlPr xmlns="http://schemas.microsoft.com/office/spreadsheetml/2009/9/main" objectType="Drop" dropLines="20" dropStyle="combo" dx="20" fmlaLink="DD_FLU_Micro_Pers_Time_Unit_9" fmlaRange="LU_FLU_Personnel_Unit_Cost_Categories" noThreeD="1" sel="2" val="0"/>
</file>

<file path=xl/ctrlProps/ctrlProp1020.xml><?xml version="1.0" encoding="utf-8"?>
<formControlPr xmlns="http://schemas.microsoft.com/office/spreadsheetml/2009/9/main" objectType="Drop" dropLines="20" dropStyle="combo" dx="16" fmlaLink="$D$125" fmlaRange="LU_FLU_RECC_PRICES_GROUP_C" noThreeD="1" sel="1" val="0"/>
</file>

<file path=xl/ctrlProps/ctrlProp1021.xml><?xml version="1.0" encoding="utf-8"?>
<formControlPr xmlns="http://schemas.microsoft.com/office/spreadsheetml/2009/9/main" objectType="Drop" dropLines="20" dropStyle="combo" dx="16" fmlaLink="$D$126" fmlaRange="LU_FLU_RECC_PRICES_GROUP_C" noThreeD="1" sel="1" val="0"/>
</file>

<file path=xl/ctrlProps/ctrlProp1022.xml><?xml version="1.0" encoding="utf-8"?>
<formControlPr xmlns="http://schemas.microsoft.com/office/spreadsheetml/2009/9/main" objectType="Drop" dropLines="20" dropStyle="combo" dx="16" fmlaLink="$D$127" fmlaRange="LU_FLU_RECC_PRICES_GROUP_C" noThreeD="1" sel="1" val="0"/>
</file>

<file path=xl/ctrlProps/ctrlProp1023.xml><?xml version="1.0" encoding="utf-8"?>
<formControlPr xmlns="http://schemas.microsoft.com/office/spreadsheetml/2009/9/main" objectType="Drop" dropLines="20" dropStyle="combo" dx="16" fmlaLink="$D$128" fmlaRange="LU_FLU_RECC_PRICES_GROUP_C" noThreeD="1" sel="1" val="0"/>
</file>

<file path=xl/ctrlProps/ctrlProp1024.xml><?xml version="1.0" encoding="utf-8"?>
<formControlPr xmlns="http://schemas.microsoft.com/office/spreadsheetml/2009/9/main" objectType="Drop" dropLines="20" dropStyle="combo" dx="16" fmlaLink="$D$133" fmlaRange="LU_FLU_RECC_PRICES_GROUP_D" noThreeD="1" sel="8" val="5"/>
</file>

<file path=xl/ctrlProps/ctrlProp1025.xml><?xml version="1.0" encoding="utf-8"?>
<formControlPr xmlns="http://schemas.microsoft.com/office/spreadsheetml/2009/9/main" objectType="Drop" dropLines="20" dropStyle="combo" dx="16" fmlaLink="$D$134" fmlaRange="LU_FLU_RECC_PRICES_GROUP_D" noThreeD="1" sel="1" val="0"/>
</file>

<file path=xl/ctrlProps/ctrlProp1026.xml><?xml version="1.0" encoding="utf-8"?>
<formControlPr xmlns="http://schemas.microsoft.com/office/spreadsheetml/2009/9/main" objectType="Drop" dropLines="20" dropStyle="combo" dx="16" fmlaLink="$D$135" fmlaRange="LU_FLU_RECC_PRICES_GROUP_D" noThreeD="1" sel="1" val="0"/>
</file>

<file path=xl/ctrlProps/ctrlProp1027.xml><?xml version="1.0" encoding="utf-8"?>
<formControlPr xmlns="http://schemas.microsoft.com/office/spreadsheetml/2009/9/main" objectType="Drop" dropLines="20" dropStyle="combo" dx="16" fmlaLink="$D$136" fmlaRange="LU_FLU_RECC_PRICES_GROUP_D" noThreeD="1" sel="1" val="0"/>
</file>

<file path=xl/ctrlProps/ctrlProp1028.xml><?xml version="1.0" encoding="utf-8"?>
<formControlPr xmlns="http://schemas.microsoft.com/office/spreadsheetml/2009/9/main" objectType="Drop" dropLines="20" dropStyle="combo" dx="16" fmlaLink="$D$137" fmlaRange="LU_FLU_RECC_PRICES_GROUP_D" noThreeD="1" sel="1" val="0"/>
</file>

<file path=xl/ctrlProps/ctrlProp1029.xml><?xml version="1.0" encoding="utf-8"?>
<formControlPr xmlns="http://schemas.microsoft.com/office/spreadsheetml/2009/9/main" objectType="Drop" dropLines="20" dropStyle="combo" dx="16" fmlaLink="$D$138" fmlaRange="LU_FLU_RECC_PRICES_GROUP_D" noThreeD="1" sel="1" val="0"/>
</file>

<file path=xl/ctrlProps/ctrlProp103.xml><?xml version="1.0" encoding="utf-8"?>
<formControlPr xmlns="http://schemas.microsoft.com/office/spreadsheetml/2009/9/main" objectType="Drop" dropLines="20" dropStyle="combo" dx="20" fmlaLink="DD_FLU_Micro_Pers_Time_Unit_10" fmlaRange="LU_FLU_Personnel_Unit_Cost_Categories" noThreeD="1" sel="2" val="0"/>
</file>

<file path=xl/ctrlProps/ctrlProp1030.xml><?xml version="1.0" encoding="utf-8"?>
<formControlPr xmlns="http://schemas.microsoft.com/office/spreadsheetml/2009/9/main" objectType="Drop" dropLines="20" dropStyle="combo" dx="16" fmlaLink="$D$139" fmlaRange="LU_FLU_RECC_PRICES_GROUP_D" noThreeD="1" sel="1" val="0"/>
</file>

<file path=xl/ctrlProps/ctrlProp1031.xml><?xml version="1.0" encoding="utf-8"?>
<formControlPr xmlns="http://schemas.microsoft.com/office/spreadsheetml/2009/9/main" objectType="Drop" dropLines="20" dropStyle="combo" dx="16" fmlaLink="$D$140" fmlaRange="LU_FLU_RECC_PRICES_GROUP_D" noThreeD="1" sel="1" val="0"/>
</file>

<file path=xl/ctrlProps/ctrlProp1032.xml><?xml version="1.0" encoding="utf-8"?>
<formControlPr xmlns="http://schemas.microsoft.com/office/spreadsheetml/2009/9/main" objectType="Drop" dropLines="20" dropStyle="combo" dx="16" fmlaLink="$D$141" fmlaRange="LU_FLU_RECC_PRICES_GROUP_D" noThreeD="1" sel="1" val="0"/>
</file>

<file path=xl/ctrlProps/ctrlProp1033.xml><?xml version="1.0" encoding="utf-8"?>
<formControlPr xmlns="http://schemas.microsoft.com/office/spreadsheetml/2009/9/main" objectType="Drop" dropLines="20" dropStyle="combo" dx="16" fmlaLink="$D$142" fmlaRange="LU_FLU_RECC_PRICES_GROUP_D" noThreeD="1" sel="1" val="0"/>
</file>

<file path=xl/ctrlProps/ctrlProp1034.xml><?xml version="1.0" encoding="utf-8"?>
<formControlPr xmlns="http://schemas.microsoft.com/office/spreadsheetml/2009/9/main" objectType="Drop" dropLines="20" dropStyle="combo" dx="16" fmlaLink="$D$143" fmlaRange="LU_FLU_RECC_PRICES_GROUP_D" noThreeD="1" sel="1" val="0"/>
</file>

<file path=xl/ctrlProps/ctrlProp1035.xml><?xml version="1.0" encoding="utf-8"?>
<formControlPr xmlns="http://schemas.microsoft.com/office/spreadsheetml/2009/9/main" objectType="Drop" dropLines="20" dropStyle="combo" dx="16" fmlaLink="$D$144" fmlaRange="LU_FLU_RECC_PRICES_GROUP_D" noThreeD="1" sel="1" val="0"/>
</file>

<file path=xl/ctrlProps/ctrlProp1036.xml><?xml version="1.0" encoding="utf-8"?>
<formControlPr xmlns="http://schemas.microsoft.com/office/spreadsheetml/2009/9/main" objectType="Drop" dropLines="20" dropStyle="combo" dx="16" fmlaLink="$D$145" fmlaRange="LU_FLU_RECC_PRICES_GROUP_D" noThreeD="1" sel="1" val="0"/>
</file>

<file path=xl/ctrlProps/ctrlProp1037.xml><?xml version="1.0" encoding="utf-8"?>
<formControlPr xmlns="http://schemas.microsoft.com/office/spreadsheetml/2009/9/main" objectType="Drop" dropLines="20" dropStyle="combo" dx="16" fmlaLink="$D$146" fmlaRange="LU_FLU_RECC_PRICES_GROUP_D" noThreeD="1" sel="1" val="0"/>
</file>

<file path=xl/ctrlProps/ctrlProp1038.xml><?xml version="1.0" encoding="utf-8"?>
<formControlPr xmlns="http://schemas.microsoft.com/office/spreadsheetml/2009/9/main" objectType="Drop" dropLines="20" dropStyle="combo" dx="16" fmlaLink="$D$147" fmlaRange="LU_FLU_RECC_PRICES_GROUP_D" noThreeD="1" sel="1" val="0"/>
</file>

<file path=xl/ctrlProps/ctrlProp1039.xml><?xml version="1.0" encoding="utf-8"?>
<formControlPr xmlns="http://schemas.microsoft.com/office/spreadsheetml/2009/9/main" objectType="Drop" dropLines="20" dropStyle="combo" dx="16" fmlaLink="$D$152" fmlaRange="LU_FLU_RECC_PRICES_GROUP_E" noThreeD="1" sel="1" val="0"/>
</file>

<file path=xl/ctrlProps/ctrlProp104.xml><?xml version="1.0" encoding="utf-8"?>
<formControlPr xmlns="http://schemas.microsoft.com/office/spreadsheetml/2009/9/main" objectType="Drop" dropLines="20" dropStyle="combo" dx="20" fmlaLink="DD_FLU_Micro_Pers_Time_Unit_11" fmlaRange="LU_FLU_Personnel_Unit_Cost_Categories" noThreeD="1" sel="2" val="0"/>
</file>

<file path=xl/ctrlProps/ctrlProp1040.xml><?xml version="1.0" encoding="utf-8"?>
<formControlPr xmlns="http://schemas.microsoft.com/office/spreadsheetml/2009/9/main" objectType="Drop" dropLines="20" dropStyle="combo" dx="16" fmlaLink="$D$153" fmlaRange="LU_FLU_RECC_PRICES_GROUP_E" noThreeD="1" sel="1" val="0"/>
</file>

<file path=xl/ctrlProps/ctrlProp1041.xml><?xml version="1.0" encoding="utf-8"?>
<formControlPr xmlns="http://schemas.microsoft.com/office/spreadsheetml/2009/9/main" objectType="Drop" dropLines="20" dropStyle="combo" dx="16" fmlaLink="$D$154" fmlaRange="LU_FLU_RECC_PRICES_GROUP_E" noThreeD="1" sel="1" val="0"/>
</file>

<file path=xl/ctrlProps/ctrlProp1042.xml><?xml version="1.0" encoding="utf-8"?>
<formControlPr xmlns="http://schemas.microsoft.com/office/spreadsheetml/2009/9/main" objectType="Drop" dropLines="20" dropStyle="combo" dx="16" fmlaLink="$D$155" fmlaRange="LU_FLU_RECC_PRICES_GROUP_E" noThreeD="1" sel="1" val="0"/>
</file>

<file path=xl/ctrlProps/ctrlProp1043.xml><?xml version="1.0" encoding="utf-8"?>
<formControlPr xmlns="http://schemas.microsoft.com/office/spreadsheetml/2009/9/main" objectType="Drop" dropLines="20" dropStyle="combo" dx="16" fmlaLink="$D$156" fmlaRange="LU_FLU_RECC_PRICES_GROUP_E" noThreeD="1" sel="1" val="0"/>
</file>

<file path=xl/ctrlProps/ctrlProp1044.xml><?xml version="1.0" encoding="utf-8"?>
<formControlPr xmlns="http://schemas.microsoft.com/office/spreadsheetml/2009/9/main" objectType="Drop" dropLines="20" dropStyle="combo" dx="16" fmlaLink="$D$157" fmlaRange="LU_FLU_RECC_PRICES_GROUP_E" noThreeD="1" sel="1" val="0"/>
</file>

<file path=xl/ctrlProps/ctrlProp1045.xml><?xml version="1.0" encoding="utf-8"?>
<formControlPr xmlns="http://schemas.microsoft.com/office/spreadsheetml/2009/9/main" objectType="Drop" dropLines="20" dropStyle="combo" dx="16" fmlaLink="$D$158" fmlaRange="LU_FLU_RECC_PRICES_GROUP_E" noThreeD="1" sel="1" val="0"/>
</file>

<file path=xl/ctrlProps/ctrlProp1046.xml><?xml version="1.0" encoding="utf-8"?>
<formControlPr xmlns="http://schemas.microsoft.com/office/spreadsheetml/2009/9/main" objectType="Drop" dropLines="20" dropStyle="combo" dx="16" fmlaLink="$D$159" fmlaRange="LU_FLU_RECC_PRICES_GROUP_E" noThreeD="1" sel="1" val="0"/>
</file>

<file path=xl/ctrlProps/ctrlProp1047.xml><?xml version="1.0" encoding="utf-8"?>
<formControlPr xmlns="http://schemas.microsoft.com/office/spreadsheetml/2009/9/main" objectType="Drop" dropLines="20" dropStyle="combo" dx="16" fmlaLink="$D$160" fmlaRange="LU_FLU_RECC_PRICES_GROUP_E" noThreeD="1" sel="1" val="0"/>
</file>

<file path=xl/ctrlProps/ctrlProp1048.xml><?xml version="1.0" encoding="utf-8"?>
<formControlPr xmlns="http://schemas.microsoft.com/office/spreadsheetml/2009/9/main" objectType="Drop" dropLines="20" dropStyle="combo" dx="16" fmlaLink="$D$161" fmlaRange="LU_FLU_RECC_PRICES_GROUP_E" noThreeD="1" sel="1" val="0"/>
</file>

<file path=xl/ctrlProps/ctrlProp1049.xml><?xml version="1.0" encoding="utf-8"?>
<formControlPr xmlns="http://schemas.microsoft.com/office/spreadsheetml/2009/9/main" objectType="Drop" dropLines="20" dropStyle="combo" dx="16" fmlaLink="$D$162" fmlaRange="LU_FLU_RECC_PRICES_GROUP_E" noThreeD="1" sel="1" val="0"/>
</file>

<file path=xl/ctrlProps/ctrlProp105.xml><?xml version="1.0" encoding="utf-8"?>
<formControlPr xmlns="http://schemas.microsoft.com/office/spreadsheetml/2009/9/main" objectType="Drop" dropLines="20" dropStyle="combo" dx="20" fmlaLink="DD_FLU_Micro_Pers_Time_Unit_12" fmlaRange="LU_FLU_Personnel_Unit_Cost_Categories" noThreeD="1" sel="2" val="0"/>
</file>

<file path=xl/ctrlProps/ctrlProp1050.xml><?xml version="1.0" encoding="utf-8"?>
<formControlPr xmlns="http://schemas.microsoft.com/office/spreadsheetml/2009/9/main" objectType="Drop" dropLines="20" dropStyle="combo" dx="16" fmlaLink="$D$163" fmlaRange="LU_FLU_RECC_PRICES_GROUP_E" noThreeD="1" sel="1" val="0"/>
</file>

<file path=xl/ctrlProps/ctrlProp1051.xml><?xml version="1.0" encoding="utf-8"?>
<formControlPr xmlns="http://schemas.microsoft.com/office/spreadsheetml/2009/9/main" objectType="Drop" dropLines="20" dropStyle="combo" dx="16" fmlaLink="$D$164" fmlaRange="LU_FLU_RECC_PRICES_GROUP_E" noThreeD="1" sel="1" val="0"/>
</file>

<file path=xl/ctrlProps/ctrlProp1052.xml><?xml version="1.0" encoding="utf-8"?>
<formControlPr xmlns="http://schemas.microsoft.com/office/spreadsheetml/2009/9/main" objectType="Drop" dropLines="20" dropStyle="combo" dx="16" fmlaLink="$D$165" fmlaRange="LU_FLU_RECC_PRICES_GROUP_E" noThreeD="1" sel="1" val="0"/>
</file>

<file path=xl/ctrlProps/ctrlProp1053.xml><?xml version="1.0" encoding="utf-8"?>
<formControlPr xmlns="http://schemas.microsoft.com/office/spreadsheetml/2009/9/main" objectType="Drop" dropLines="20" dropStyle="combo" dx="16" fmlaLink="$D$166" fmlaRange="LU_FLU_RECC_PRICES_GROUP_E" noThreeD="1" sel="1" val="0"/>
</file>

<file path=xl/ctrlProps/ctrlProp1054.xml><?xml version="1.0" encoding="utf-8"?>
<formControlPr xmlns="http://schemas.microsoft.com/office/spreadsheetml/2009/9/main" objectType="Drop" dropLines="20" dropStyle="combo" dx="16" fmlaLink="$D$197" fmlaRange="LU_FLU_RECC_PRICES_GROUP_C" noThreeD="1" sel="1" val="0"/>
</file>

<file path=xl/ctrlProps/ctrlProp1055.xml><?xml version="1.0" encoding="utf-8"?>
<formControlPr xmlns="http://schemas.microsoft.com/office/spreadsheetml/2009/9/main" objectType="Drop" dropLines="20" dropStyle="combo" dx="16" fmlaLink="$D$198" fmlaRange="LU_FLU_RECC_PRICES_GROUP_C" noThreeD="1" sel="1" val="0"/>
</file>

<file path=xl/ctrlProps/ctrlProp1056.xml><?xml version="1.0" encoding="utf-8"?>
<formControlPr xmlns="http://schemas.microsoft.com/office/spreadsheetml/2009/9/main" objectType="Drop" dropLines="20" dropStyle="combo" dx="16" fmlaLink="$D$199" fmlaRange="LU_FLU_RECC_PRICES_GROUP_C" noThreeD="1" sel="1" val="0"/>
</file>

<file path=xl/ctrlProps/ctrlProp1057.xml><?xml version="1.0" encoding="utf-8"?>
<formControlPr xmlns="http://schemas.microsoft.com/office/spreadsheetml/2009/9/main" objectType="Drop" dropLines="20" dropStyle="combo" dx="16" fmlaLink="$D$200" fmlaRange="LU_FLU_RECC_PRICES_GROUP_C" noThreeD="1" sel="1" val="0"/>
</file>

<file path=xl/ctrlProps/ctrlProp1058.xml><?xml version="1.0" encoding="utf-8"?>
<formControlPr xmlns="http://schemas.microsoft.com/office/spreadsheetml/2009/9/main" objectType="Drop" dropLines="20" dropStyle="combo" dx="16" fmlaLink="$D$201" fmlaRange="LU_FLU_RECC_PRICES_GROUP_C" noThreeD="1" sel="1" val="0"/>
</file>

<file path=xl/ctrlProps/ctrlProp1059.xml><?xml version="1.0" encoding="utf-8"?>
<formControlPr xmlns="http://schemas.microsoft.com/office/spreadsheetml/2009/9/main" objectType="Drop" dropLines="20" dropStyle="combo" dx="16" fmlaLink="$D$202" fmlaRange="LU_FLU_RECC_PRICES_GROUP_C" noThreeD="1" sel="1" val="0"/>
</file>

<file path=xl/ctrlProps/ctrlProp106.xml><?xml version="1.0" encoding="utf-8"?>
<formControlPr xmlns="http://schemas.microsoft.com/office/spreadsheetml/2009/9/main" objectType="Drop" dropLines="20" dropStyle="combo" dx="20" fmlaLink="DD_FLU_Micro_Pers_Time_Unit_13" fmlaRange="LU_FLU_Personnel_Unit_Cost_Categories" noThreeD="1" sel="2" val="0"/>
</file>

<file path=xl/ctrlProps/ctrlProp1060.xml><?xml version="1.0" encoding="utf-8"?>
<formControlPr xmlns="http://schemas.microsoft.com/office/spreadsheetml/2009/9/main" objectType="Drop" dropLines="20" dropStyle="combo" dx="16" fmlaLink="$D$203" fmlaRange="LU_FLU_RECC_PRICES_GROUP_C" noThreeD="1" sel="1" val="0"/>
</file>

<file path=xl/ctrlProps/ctrlProp1061.xml><?xml version="1.0" encoding="utf-8"?>
<formControlPr xmlns="http://schemas.microsoft.com/office/spreadsheetml/2009/9/main" objectType="Drop" dropLines="20" dropStyle="combo" dx="16" fmlaLink="$D$204" fmlaRange="LU_FLU_RECC_PRICES_GROUP_C" noThreeD="1" sel="1" val="0"/>
</file>

<file path=xl/ctrlProps/ctrlProp1062.xml><?xml version="1.0" encoding="utf-8"?>
<formControlPr xmlns="http://schemas.microsoft.com/office/spreadsheetml/2009/9/main" objectType="Drop" dropLines="20" dropStyle="combo" dx="16" fmlaLink="$D$205" fmlaRange="LU_FLU_RECC_PRICES_GROUP_C" noThreeD="1" sel="1" val="0"/>
</file>

<file path=xl/ctrlProps/ctrlProp1063.xml><?xml version="1.0" encoding="utf-8"?>
<formControlPr xmlns="http://schemas.microsoft.com/office/spreadsheetml/2009/9/main" objectType="Drop" dropLines="20" dropStyle="combo" dx="16" fmlaLink="$D$206" fmlaRange="LU_FLU_RECC_PRICES_GROUP_C" noThreeD="1" sel="1" val="0"/>
</file>

<file path=xl/ctrlProps/ctrlProp1064.xml><?xml version="1.0" encoding="utf-8"?>
<formControlPr xmlns="http://schemas.microsoft.com/office/spreadsheetml/2009/9/main" objectType="Drop" dropLines="20" dropStyle="combo" dx="16" fmlaLink="$D$207" fmlaRange="LU_FLU_RECC_PRICES_GROUP_C" noThreeD="1" sel="1" val="0"/>
</file>

<file path=xl/ctrlProps/ctrlProp1065.xml><?xml version="1.0" encoding="utf-8"?>
<formControlPr xmlns="http://schemas.microsoft.com/office/spreadsheetml/2009/9/main" objectType="Drop" dropLines="20" dropStyle="combo" dx="16" fmlaLink="$D$208" fmlaRange="LU_FLU_RECC_PRICES_GROUP_C" noThreeD="1" sel="1" val="0"/>
</file>

<file path=xl/ctrlProps/ctrlProp1066.xml><?xml version="1.0" encoding="utf-8"?>
<formControlPr xmlns="http://schemas.microsoft.com/office/spreadsheetml/2009/9/main" objectType="Drop" dropLines="20" dropStyle="combo" dx="16" fmlaLink="$D$209" fmlaRange="LU_FLU_RECC_PRICES_GROUP_C" noThreeD="1" sel="1" val="0"/>
</file>

<file path=xl/ctrlProps/ctrlProp1067.xml><?xml version="1.0" encoding="utf-8"?>
<formControlPr xmlns="http://schemas.microsoft.com/office/spreadsheetml/2009/9/main" objectType="Drop" dropLines="20" dropStyle="combo" dx="16" fmlaLink="$D$210" fmlaRange="LU_FLU_RECC_PRICES_GROUP_C" noThreeD="1" sel="1" val="0"/>
</file>

<file path=xl/ctrlProps/ctrlProp1068.xml><?xml version="1.0" encoding="utf-8"?>
<formControlPr xmlns="http://schemas.microsoft.com/office/spreadsheetml/2009/9/main" objectType="Drop" dropLines="20" dropStyle="combo" dx="16" fmlaLink="$D$211" fmlaRange="LU_FLU_RECC_PRICES_GROUP_C" noThreeD="1" sel="1" val="0"/>
</file>

<file path=xl/ctrlProps/ctrlProp1069.xml><?xml version="1.0" encoding="utf-8"?>
<formControlPr xmlns="http://schemas.microsoft.com/office/spreadsheetml/2009/9/main" objectType="Drop" dropLines="20" dropStyle="combo" dx="16" fmlaLink="$D$216" fmlaRange="LU_FLU_RECC_PRICES_GROUP_D" noThreeD="1" sel="8" val="3"/>
</file>

<file path=xl/ctrlProps/ctrlProp107.xml><?xml version="1.0" encoding="utf-8"?>
<formControlPr xmlns="http://schemas.microsoft.com/office/spreadsheetml/2009/9/main" objectType="Drop" dropLines="20" dropStyle="combo" dx="20" fmlaLink="DD_FLU_Micro_Pers_Time_Unit_14" fmlaRange="LU_FLU_Personnel_Unit_Cost_Categories" noThreeD="1" sel="2" val="0"/>
</file>

<file path=xl/ctrlProps/ctrlProp1070.xml><?xml version="1.0" encoding="utf-8"?>
<formControlPr xmlns="http://schemas.microsoft.com/office/spreadsheetml/2009/9/main" objectType="Drop" dropLines="20" dropStyle="combo" dx="16" fmlaLink="$D$217" fmlaRange="LU_FLU_RECC_PRICES_GROUP_D" noThreeD="1" sel="1" val="0"/>
</file>

<file path=xl/ctrlProps/ctrlProp1071.xml><?xml version="1.0" encoding="utf-8"?>
<formControlPr xmlns="http://schemas.microsoft.com/office/spreadsheetml/2009/9/main" objectType="Drop" dropLines="20" dropStyle="combo" dx="16" fmlaLink="$D$218" fmlaRange="LU_FLU_RECC_PRICES_GROUP_D" noThreeD="1" sel="1" val="0"/>
</file>

<file path=xl/ctrlProps/ctrlProp1072.xml><?xml version="1.0" encoding="utf-8"?>
<formControlPr xmlns="http://schemas.microsoft.com/office/spreadsheetml/2009/9/main" objectType="Drop" dropLines="20" dropStyle="combo" dx="16" fmlaLink="$D$219" fmlaRange="LU_FLU_RECC_PRICES_GROUP_D" noThreeD="1" sel="1" val="0"/>
</file>

<file path=xl/ctrlProps/ctrlProp1073.xml><?xml version="1.0" encoding="utf-8"?>
<formControlPr xmlns="http://schemas.microsoft.com/office/spreadsheetml/2009/9/main" objectType="Drop" dropLines="20" dropStyle="combo" dx="16" fmlaLink="$D$220" fmlaRange="LU_FLU_RECC_PRICES_GROUP_D" noThreeD="1" sel="1" val="0"/>
</file>

<file path=xl/ctrlProps/ctrlProp1074.xml><?xml version="1.0" encoding="utf-8"?>
<formControlPr xmlns="http://schemas.microsoft.com/office/spreadsheetml/2009/9/main" objectType="Drop" dropLines="20" dropStyle="combo" dx="16" fmlaLink="$D$221" fmlaRange="LU_FLU_RECC_PRICES_GROUP_D" noThreeD="1" sel="1" val="0"/>
</file>

<file path=xl/ctrlProps/ctrlProp1075.xml><?xml version="1.0" encoding="utf-8"?>
<formControlPr xmlns="http://schemas.microsoft.com/office/spreadsheetml/2009/9/main" objectType="Drop" dropLines="20" dropStyle="combo" dx="16" fmlaLink="$D$222" fmlaRange="LU_FLU_RECC_PRICES_GROUP_D" noThreeD="1" sel="1" val="0"/>
</file>

<file path=xl/ctrlProps/ctrlProp1076.xml><?xml version="1.0" encoding="utf-8"?>
<formControlPr xmlns="http://schemas.microsoft.com/office/spreadsheetml/2009/9/main" objectType="Drop" dropLines="20" dropStyle="combo" dx="16" fmlaLink="$D$223" fmlaRange="LU_FLU_RECC_PRICES_GROUP_D" noThreeD="1" sel="1" val="0"/>
</file>

<file path=xl/ctrlProps/ctrlProp1077.xml><?xml version="1.0" encoding="utf-8"?>
<formControlPr xmlns="http://schemas.microsoft.com/office/spreadsheetml/2009/9/main" objectType="Drop" dropLines="20" dropStyle="combo" dx="16" fmlaLink="$D$224" fmlaRange="LU_FLU_RECC_PRICES_GROUP_D" noThreeD="1" sel="1" val="0"/>
</file>

<file path=xl/ctrlProps/ctrlProp1078.xml><?xml version="1.0" encoding="utf-8"?>
<formControlPr xmlns="http://schemas.microsoft.com/office/spreadsheetml/2009/9/main" objectType="Drop" dropLines="20" dropStyle="combo" dx="16" fmlaLink="$D$225" fmlaRange="LU_FLU_RECC_PRICES_GROUP_D" noThreeD="1" sel="1" val="0"/>
</file>

<file path=xl/ctrlProps/ctrlProp1079.xml><?xml version="1.0" encoding="utf-8"?>
<formControlPr xmlns="http://schemas.microsoft.com/office/spreadsheetml/2009/9/main" objectType="Drop" dropLines="20" dropStyle="combo" dx="16" fmlaLink="$D$226" fmlaRange="LU_FLU_RECC_PRICES_GROUP_D" noThreeD="1" sel="1" val="0"/>
</file>

<file path=xl/ctrlProps/ctrlProp108.xml><?xml version="1.0" encoding="utf-8"?>
<formControlPr xmlns="http://schemas.microsoft.com/office/spreadsheetml/2009/9/main" objectType="Drop" dropLines="20" dropStyle="combo" dx="20" fmlaLink="DD_FLU_DETAILED_MICRO_B_PERS_1" fmlaRange="LU_FLU_RECC_PRICES_GROUP_A" noThreeD="1" sel="5" val="0"/>
</file>

<file path=xl/ctrlProps/ctrlProp1080.xml><?xml version="1.0" encoding="utf-8"?>
<formControlPr xmlns="http://schemas.microsoft.com/office/spreadsheetml/2009/9/main" objectType="Drop" dropLines="20" dropStyle="combo" dx="16" fmlaLink="$D$227" fmlaRange="LU_FLU_RECC_PRICES_GROUP_D" noThreeD="1" sel="1" val="0"/>
</file>

<file path=xl/ctrlProps/ctrlProp1081.xml><?xml version="1.0" encoding="utf-8"?>
<formControlPr xmlns="http://schemas.microsoft.com/office/spreadsheetml/2009/9/main" objectType="Drop" dropLines="20" dropStyle="combo" dx="16" fmlaLink="$D$228" fmlaRange="LU_FLU_RECC_PRICES_GROUP_D" noThreeD="1" sel="1" val="0"/>
</file>

<file path=xl/ctrlProps/ctrlProp1082.xml><?xml version="1.0" encoding="utf-8"?>
<formControlPr xmlns="http://schemas.microsoft.com/office/spreadsheetml/2009/9/main" objectType="Drop" dropLines="20" dropStyle="combo" dx="16" fmlaLink="$D$229" fmlaRange="LU_FLU_RECC_PRICES_GROUP_D" noThreeD="1" sel="1" val="0"/>
</file>

<file path=xl/ctrlProps/ctrlProp1083.xml><?xml version="1.0" encoding="utf-8"?>
<formControlPr xmlns="http://schemas.microsoft.com/office/spreadsheetml/2009/9/main" objectType="Drop" dropLines="20" dropStyle="combo" dx="16" fmlaLink="$D$230" fmlaRange="LU_FLU_RECC_PRICES_GROUP_D" noThreeD="1" sel="1" val="0"/>
</file>

<file path=xl/ctrlProps/ctrlProp1084.xml><?xml version="1.0" encoding="utf-8"?>
<formControlPr xmlns="http://schemas.microsoft.com/office/spreadsheetml/2009/9/main" objectType="Drop" dropLines="20" dropStyle="combo" dx="16" fmlaLink="$D$235" fmlaRange="LU_FLU_RECC_PRICES_GROUP_E" noThreeD="1" sel="1" val="0"/>
</file>

<file path=xl/ctrlProps/ctrlProp1085.xml><?xml version="1.0" encoding="utf-8"?>
<formControlPr xmlns="http://schemas.microsoft.com/office/spreadsheetml/2009/9/main" objectType="Drop" dropLines="20" dropStyle="combo" dx="16" fmlaLink="$D$236" fmlaRange="LU_FLU_RECC_PRICES_GROUP_E" noThreeD="1" sel="1" val="0"/>
</file>

<file path=xl/ctrlProps/ctrlProp1086.xml><?xml version="1.0" encoding="utf-8"?>
<formControlPr xmlns="http://schemas.microsoft.com/office/spreadsheetml/2009/9/main" objectType="Drop" dropLines="20" dropStyle="combo" dx="16" fmlaLink="$D$237" fmlaRange="LU_FLU_RECC_PRICES_GROUP_E" noThreeD="1" sel="1" val="0"/>
</file>

<file path=xl/ctrlProps/ctrlProp1087.xml><?xml version="1.0" encoding="utf-8"?>
<formControlPr xmlns="http://schemas.microsoft.com/office/spreadsheetml/2009/9/main" objectType="Drop" dropLines="20" dropStyle="combo" dx="16" fmlaLink="$D$238" fmlaRange="LU_FLU_RECC_PRICES_GROUP_E" noThreeD="1" sel="1" val="0"/>
</file>

<file path=xl/ctrlProps/ctrlProp1088.xml><?xml version="1.0" encoding="utf-8"?>
<formControlPr xmlns="http://schemas.microsoft.com/office/spreadsheetml/2009/9/main" objectType="Drop" dropLines="20" dropStyle="combo" dx="16" fmlaLink="$D$239" fmlaRange="LU_FLU_RECC_PRICES_GROUP_E" noThreeD="1" sel="1" val="0"/>
</file>

<file path=xl/ctrlProps/ctrlProp1089.xml><?xml version="1.0" encoding="utf-8"?>
<formControlPr xmlns="http://schemas.microsoft.com/office/spreadsheetml/2009/9/main" objectType="Drop" dropLines="20" dropStyle="combo" dx="16" fmlaLink="$D$240" fmlaRange="LU_FLU_RECC_PRICES_GROUP_E" noThreeD="1" sel="1" val="0"/>
</file>

<file path=xl/ctrlProps/ctrlProp109.xml><?xml version="1.0" encoding="utf-8"?>
<formControlPr xmlns="http://schemas.microsoft.com/office/spreadsheetml/2009/9/main" objectType="Drop" dropLines="20" dropStyle="combo" dx="20" fmlaLink="DD_FLU_DETAILED_MICRO_B_PERS_2" fmlaRange="LU_FLU_RECC_PRICES_GROUP_A" noThreeD="1" sel="14" val="0"/>
</file>

<file path=xl/ctrlProps/ctrlProp1090.xml><?xml version="1.0" encoding="utf-8"?>
<formControlPr xmlns="http://schemas.microsoft.com/office/spreadsheetml/2009/9/main" objectType="Drop" dropLines="20" dropStyle="combo" dx="16" fmlaLink="$D$241" fmlaRange="LU_FLU_RECC_PRICES_GROUP_E" noThreeD="1" sel="1" val="0"/>
</file>

<file path=xl/ctrlProps/ctrlProp1091.xml><?xml version="1.0" encoding="utf-8"?>
<formControlPr xmlns="http://schemas.microsoft.com/office/spreadsheetml/2009/9/main" objectType="Drop" dropLines="20" dropStyle="combo" dx="16" fmlaLink="$D$242" fmlaRange="LU_FLU_RECC_PRICES_GROUP_E" noThreeD="1" sel="1" val="0"/>
</file>

<file path=xl/ctrlProps/ctrlProp1092.xml><?xml version="1.0" encoding="utf-8"?>
<formControlPr xmlns="http://schemas.microsoft.com/office/spreadsheetml/2009/9/main" objectType="Drop" dropLines="20" dropStyle="combo" dx="16" fmlaLink="$D$243" fmlaRange="LU_FLU_RECC_PRICES_GROUP_E" noThreeD="1" sel="1" val="0"/>
</file>

<file path=xl/ctrlProps/ctrlProp1093.xml><?xml version="1.0" encoding="utf-8"?>
<formControlPr xmlns="http://schemas.microsoft.com/office/spreadsheetml/2009/9/main" objectType="Drop" dropLines="20" dropStyle="combo" dx="16" fmlaLink="$D$244" fmlaRange="LU_FLU_RECC_PRICES_GROUP_E" noThreeD="1" sel="1" val="0"/>
</file>

<file path=xl/ctrlProps/ctrlProp1094.xml><?xml version="1.0" encoding="utf-8"?>
<formControlPr xmlns="http://schemas.microsoft.com/office/spreadsheetml/2009/9/main" objectType="Drop" dropLines="20" dropStyle="combo" dx="16" fmlaLink="$D$245" fmlaRange="LU_FLU_RECC_PRICES_GROUP_E" noThreeD="1" sel="1" val="0"/>
</file>

<file path=xl/ctrlProps/ctrlProp1095.xml><?xml version="1.0" encoding="utf-8"?>
<formControlPr xmlns="http://schemas.microsoft.com/office/spreadsheetml/2009/9/main" objectType="Drop" dropLines="20" dropStyle="combo" dx="16" fmlaLink="$D$246" fmlaRange="LU_FLU_RECC_PRICES_GROUP_E" noThreeD="1" sel="1" val="0"/>
</file>

<file path=xl/ctrlProps/ctrlProp1096.xml><?xml version="1.0" encoding="utf-8"?>
<formControlPr xmlns="http://schemas.microsoft.com/office/spreadsheetml/2009/9/main" objectType="Drop" dropLines="20" dropStyle="combo" dx="16" fmlaLink="$D$247" fmlaRange="LU_FLU_RECC_PRICES_GROUP_E" noThreeD="1" sel="1" val="0"/>
</file>

<file path=xl/ctrlProps/ctrlProp1097.xml><?xml version="1.0" encoding="utf-8"?>
<formControlPr xmlns="http://schemas.microsoft.com/office/spreadsheetml/2009/9/main" objectType="Drop" dropLines="20" dropStyle="combo" dx="16" fmlaLink="$D$248" fmlaRange="LU_FLU_RECC_PRICES_GROUP_E" noThreeD="1" sel="1" val="0"/>
</file>

<file path=xl/ctrlProps/ctrlProp1098.xml><?xml version="1.0" encoding="utf-8"?>
<formControlPr xmlns="http://schemas.microsoft.com/office/spreadsheetml/2009/9/main" objectType="Drop" dropLines="20" dropStyle="combo" dx="16" fmlaLink="$D$249" fmlaRange="LU_FLU_RECC_PRICES_GROUP_E" noThreeD="1" sel="1" val="0"/>
</file>

<file path=xl/ctrlProps/ctrlProp1099.xml><?xml version="1.0" encoding="utf-8"?>
<formControlPr xmlns="http://schemas.microsoft.com/office/spreadsheetml/2009/9/main" objectType="Drop" dropLines="20" dropStyle="combo" dx="20" fmlaLink="$D$16" fmlaRange="LU_FLU_RECC_PRICES_GROUP_A" noThreeD="1" sel="20" val="5"/>
</file>

<file path=xl/ctrlProps/ctrlProp11.xml><?xml version="1.0" encoding="utf-8"?>
<formControlPr xmlns="http://schemas.microsoft.com/office/spreadsheetml/2009/9/main" objectType="Drop" dropLines="20" dropStyle="combo" dx="16" fmlaLink="$G$60" fmlaRange="LU_FLU_Curr_Code" noThreeD="1" sel="2" val="0"/>
</file>

<file path=xl/ctrlProps/ctrlProp110.xml><?xml version="1.0" encoding="utf-8"?>
<formControlPr xmlns="http://schemas.microsoft.com/office/spreadsheetml/2009/9/main" objectType="Drop" dropLines="20" dropStyle="combo" dx="20" fmlaLink="DD_FLU_DETAILED_MICRO_B_PERS_3" fmlaRange="LU_FLU_RECC_PRICES_GROUP_A" noThreeD="1" sel="15" val="0"/>
</file>

<file path=xl/ctrlProps/ctrlProp1100.xml><?xml version="1.0" encoding="utf-8"?>
<formControlPr xmlns="http://schemas.microsoft.com/office/spreadsheetml/2009/9/main" objectType="Drop" dropLines="20" dropStyle="combo" dx="20" fmlaLink="$D$17" fmlaRange="LU_FLU_RECC_PRICES_GROUP_A" noThreeD="1" sel="20" val="5"/>
</file>

<file path=xl/ctrlProps/ctrlProp1101.xml><?xml version="1.0" encoding="utf-8"?>
<formControlPr xmlns="http://schemas.microsoft.com/office/spreadsheetml/2009/9/main" objectType="Drop" dropLines="20" dropStyle="combo" dx="20" fmlaLink="$D$18" fmlaRange="LU_FLU_RECC_PRICES_GROUP_A" noThreeD="1" sel="1" val="5"/>
</file>

<file path=xl/ctrlProps/ctrlProp1102.xml><?xml version="1.0" encoding="utf-8"?>
<formControlPr xmlns="http://schemas.microsoft.com/office/spreadsheetml/2009/9/main" objectType="Drop" dropLines="20" dropStyle="combo" dx="20" fmlaLink="$D$19" fmlaRange="LU_FLU_RECC_PRICES_GROUP_A" noThreeD="1" sel="1" val="0"/>
</file>

<file path=xl/ctrlProps/ctrlProp1103.xml><?xml version="1.0" encoding="utf-8"?>
<formControlPr xmlns="http://schemas.microsoft.com/office/spreadsheetml/2009/9/main" objectType="Drop" dropLines="20" dropStyle="combo" dx="20" fmlaLink="$D$20" fmlaRange="LU_FLU_RECC_PRICES_GROUP_A" noThreeD="1" sel="1" val="0"/>
</file>

<file path=xl/ctrlProps/ctrlProp1104.xml><?xml version="1.0" encoding="utf-8"?>
<formControlPr xmlns="http://schemas.microsoft.com/office/spreadsheetml/2009/9/main" objectType="Drop" dropLines="20" dropStyle="combo" dx="20" fmlaLink="$D$21" fmlaRange="LU_FLU_RECC_PRICES_GROUP_A" noThreeD="1" sel="1" val="0"/>
</file>

<file path=xl/ctrlProps/ctrlProp1105.xml><?xml version="1.0" encoding="utf-8"?>
<formControlPr xmlns="http://schemas.microsoft.com/office/spreadsheetml/2009/9/main" objectType="Drop" dropLines="20" dropStyle="combo" dx="20" fmlaLink="$D$22" fmlaRange="LU_FLU_RECC_PRICES_GROUP_A" noThreeD="1" sel="1" val="0"/>
</file>

<file path=xl/ctrlProps/ctrlProp1106.xml><?xml version="1.0" encoding="utf-8"?>
<formControlPr xmlns="http://schemas.microsoft.com/office/spreadsheetml/2009/9/main" objectType="Drop" dropLines="20" dropStyle="combo" dx="20" fmlaLink="$D$23" fmlaRange="LU_FLU_RECC_PRICES_GROUP_A" noThreeD="1" sel="1" val="0"/>
</file>

<file path=xl/ctrlProps/ctrlProp1107.xml><?xml version="1.0" encoding="utf-8"?>
<formControlPr xmlns="http://schemas.microsoft.com/office/spreadsheetml/2009/9/main" objectType="Drop" dropLines="20" dropStyle="combo" dx="20" fmlaLink="$D$24" fmlaRange="LU_FLU_RECC_PRICES_GROUP_A" noThreeD="1" sel="1" val="0"/>
</file>

<file path=xl/ctrlProps/ctrlProp1108.xml><?xml version="1.0" encoding="utf-8"?>
<formControlPr xmlns="http://schemas.microsoft.com/office/spreadsheetml/2009/9/main" objectType="Drop" dropLines="20" dropStyle="combo" dx="20" fmlaLink="$D$25" fmlaRange="LU_FLU_RECC_PRICES_GROUP_A" noThreeD="1" sel="1" val="0"/>
</file>

<file path=xl/ctrlProps/ctrlProp1109.xml><?xml version="1.0" encoding="utf-8"?>
<formControlPr xmlns="http://schemas.microsoft.com/office/spreadsheetml/2009/9/main" objectType="Drop" dropLines="20" dropStyle="combo" dx="20" fmlaLink="$D$26" fmlaRange="LU_FLU_RECC_PRICES_GROUP_A" noThreeD="1" sel="1" val="0"/>
</file>

<file path=xl/ctrlProps/ctrlProp111.xml><?xml version="1.0" encoding="utf-8"?>
<formControlPr xmlns="http://schemas.microsoft.com/office/spreadsheetml/2009/9/main" objectType="Drop" dropLines="20" dropStyle="combo" dx="20" fmlaLink="DD_FLU_DETAILED_MICRO_B_PERS_4" fmlaRange="LU_FLU_RECC_PRICES_GROUP_A" noThreeD="1" sel="1" val="0"/>
</file>

<file path=xl/ctrlProps/ctrlProp1110.xml><?xml version="1.0" encoding="utf-8"?>
<formControlPr xmlns="http://schemas.microsoft.com/office/spreadsheetml/2009/9/main" objectType="Drop" dropLines="20" dropStyle="combo" dx="20" fmlaLink="$D$27" fmlaRange="LU_FLU_RECC_PRICES_GROUP_A" noThreeD="1" sel="1" val="0"/>
</file>

<file path=xl/ctrlProps/ctrlProp1111.xml><?xml version="1.0" encoding="utf-8"?>
<formControlPr xmlns="http://schemas.microsoft.com/office/spreadsheetml/2009/9/main" objectType="Drop" dropLines="20" dropStyle="combo" dx="20" fmlaLink="$D$28" fmlaRange="LU_FLU_RECC_PRICES_GROUP_A" noThreeD="1" sel="1" val="0"/>
</file>

<file path=xl/ctrlProps/ctrlProp1112.xml><?xml version="1.0" encoding="utf-8"?>
<formControlPr xmlns="http://schemas.microsoft.com/office/spreadsheetml/2009/9/main" objectType="Drop" dropLines="20" dropStyle="combo" dx="20" fmlaLink="$D$29" fmlaRange="LU_FLU_RECC_PRICES_GROUP_A" noThreeD="1" sel="1" val="0"/>
</file>

<file path=xl/ctrlProps/ctrlProp1113.xml><?xml version="1.0" encoding="utf-8"?>
<formControlPr xmlns="http://schemas.microsoft.com/office/spreadsheetml/2009/9/main" objectType="Drop" dropLines="20" dropStyle="combo" dx="20" fmlaLink="$D$30" fmlaRange="LU_FLU_RECC_PRICES_GROUP_A" noThreeD="1" sel="1" val="0"/>
</file>

<file path=xl/ctrlProps/ctrlProp1114.xml><?xml version="1.0" encoding="utf-8"?>
<formControlPr xmlns="http://schemas.microsoft.com/office/spreadsheetml/2009/9/main" objectType="Drop" dropLines="20" dropStyle="combo" dx="20" fmlaLink="$D$35" fmlaRange="LU_FLU_RECC_PRICES_GROUP_C" noThreeD="1" sel="1" val="0"/>
</file>

<file path=xl/ctrlProps/ctrlProp1115.xml><?xml version="1.0" encoding="utf-8"?>
<formControlPr xmlns="http://schemas.microsoft.com/office/spreadsheetml/2009/9/main" objectType="Drop" dropLines="20" dropStyle="combo" dx="20" fmlaLink="$D$36" fmlaRange="LU_FLU_RECC_PRICES_GROUP_C" noThreeD="1" sel="1" val="0"/>
</file>

<file path=xl/ctrlProps/ctrlProp1116.xml><?xml version="1.0" encoding="utf-8"?>
<formControlPr xmlns="http://schemas.microsoft.com/office/spreadsheetml/2009/9/main" objectType="Drop" dropLines="20" dropStyle="combo" dx="20" fmlaLink="$D$37" fmlaRange="LU_FLU_RECC_PRICES_GROUP_C" noThreeD="1" sel="1" val="0"/>
</file>

<file path=xl/ctrlProps/ctrlProp1117.xml><?xml version="1.0" encoding="utf-8"?>
<formControlPr xmlns="http://schemas.microsoft.com/office/spreadsheetml/2009/9/main" objectType="Drop" dropLines="20" dropStyle="combo" dx="20" fmlaLink="$D$38" fmlaRange="LU_FLU_RECC_PRICES_GROUP_C" noThreeD="1" sel="1" val="0"/>
</file>

<file path=xl/ctrlProps/ctrlProp1118.xml><?xml version="1.0" encoding="utf-8"?>
<formControlPr xmlns="http://schemas.microsoft.com/office/spreadsheetml/2009/9/main" objectType="Drop" dropLines="20" dropStyle="combo" dx="20" fmlaLink="$D$39" fmlaRange="LU_FLU_RECC_PRICES_GROUP_C" noThreeD="1" sel="1" val="0"/>
</file>

<file path=xl/ctrlProps/ctrlProp1119.xml><?xml version="1.0" encoding="utf-8"?>
<formControlPr xmlns="http://schemas.microsoft.com/office/spreadsheetml/2009/9/main" objectType="Drop" dropLines="20" dropStyle="combo" dx="20" fmlaLink="$D$40" fmlaRange="LU_FLU_RECC_PRICES_GROUP_C" noThreeD="1" sel="1" val="0"/>
</file>

<file path=xl/ctrlProps/ctrlProp112.xml><?xml version="1.0" encoding="utf-8"?>
<formControlPr xmlns="http://schemas.microsoft.com/office/spreadsheetml/2009/9/main" objectType="Drop" dropLines="20" dropStyle="combo" dx="20" fmlaLink="DD_FLU_DETAILED_MICRO_B_PERS_5" fmlaRange="LU_FLU_RECC_PRICES_GROUP_A" noThreeD="1" sel="1" val="0"/>
</file>

<file path=xl/ctrlProps/ctrlProp1120.xml><?xml version="1.0" encoding="utf-8"?>
<formControlPr xmlns="http://schemas.microsoft.com/office/spreadsheetml/2009/9/main" objectType="Drop" dropLines="20" dropStyle="combo" dx="20" fmlaLink="$D$41" fmlaRange="LU_FLU_RECC_PRICES_GROUP_C" noThreeD="1" sel="1" val="0"/>
</file>

<file path=xl/ctrlProps/ctrlProp1121.xml><?xml version="1.0" encoding="utf-8"?>
<formControlPr xmlns="http://schemas.microsoft.com/office/spreadsheetml/2009/9/main" objectType="Drop" dropLines="20" dropStyle="combo" dx="20" fmlaLink="$D$42" fmlaRange="LU_FLU_RECC_PRICES_GROUP_C" noThreeD="1" sel="1" val="0"/>
</file>

<file path=xl/ctrlProps/ctrlProp1122.xml><?xml version="1.0" encoding="utf-8"?>
<formControlPr xmlns="http://schemas.microsoft.com/office/spreadsheetml/2009/9/main" objectType="Drop" dropLines="20" dropStyle="combo" dx="20" fmlaLink="$D$43" fmlaRange="LU_FLU_RECC_PRICES_GROUP_C" noThreeD="1" sel="1" val="0"/>
</file>

<file path=xl/ctrlProps/ctrlProp1123.xml><?xml version="1.0" encoding="utf-8"?>
<formControlPr xmlns="http://schemas.microsoft.com/office/spreadsheetml/2009/9/main" objectType="Drop" dropLines="20" dropStyle="combo" dx="20" fmlaLink="$D$44" fmlaRange="LU_FLU_RECC_PRICES_GROUP_C" noThreeD="1" sel="1" val="0"/>
</file>

<file path=xl/ctrlProps/ctrlProp1124.xml><?xml version="1.0" encoding="utf-8"?>
<formControlPr xmlns="http://schemas.microsoft.com/office/spreadsheetml/2009/9/main" objectType="Drop" dropLines="20" dropStyle="combo" dx="20" fmlaLink="$D$45" fmlaRange="LU_FLU_RECC_PRICES_GROUP_C" noThreeD="1" sel="1" val="0"/>
</file>

<file path=xl/ctrlProps/ctrlProp1125.xml><?xml version="1.0" encoding="utf-8"?>
<formControlPr xmlns="http://schemas.microsoft.com/office/spreadsheetml/2009/9/main" objectType="Drop" dropLines="20" dropStyle="combo" dx="20" fmlaLink="$D$46" fmlaRange="LU_FLU_RECC_PRICES_GROUP_C" noThreeD="1" sel="1" val="0"/>
</file>

<file path=xl/ctrlProps/ctrlProp1126.xml><?xml version="1.0" encoding="utf-8"?>
<formControlPr xmlns="http://schemas.microsoft.com/office/spreadsheetml/2009/9/main" objectType="Drop" dropLines="20" dropStyle="combo" dx="20" fmlaLink="$D$47" fmlaRange="LU_FLU_RECC_PRICES_GROUP_C" noThreeD="1" sel="1" val="0"/>
</file>

<file path=xl/ctrlProps/ctrlProp1127.xml><?xml version="1.0" encoding="utf-8"?>
<formControlPr xmlns="http://schemas.microsoft.com/office/spreadsheetml/2009/9/main" objectType="Drop" dropLines="20" dropStyle="combo" dx="20" fmlaLink="$D$48" fmlaRange="LU_FLU_RECC_PRICES_GROUP_C" noThreeD="1" sel="1" val="0"/>
</file>

<file path=xl/ctrlProps/ctrlProp1128.xml><?xml version="1.0" encoding="utf-8"?>
<formControlPr xmlns="http://schemas.microsoft.com/office/spreadsheetml/2009/9/main" objectType="Drop" dropLines="20" dropStyle="combo" dx="20" fmlaLink="$D$49" fmlaRange="LU_FLU_RECC_PRICES_GROUP_C" noThreeD="1" sel="1" val="0"/>
</file>

<file path=xl/ctrlProps/ctrlProp1129.xml><?xml version="1.0" encoding="utf-8"?>
<formControlPr xmlns="http://schemas.microsoft.com/office/spreadsheetml/2009/9/main" objectType="Drop" dropLines="20" dropStyle="combo" dx="20" fmlaLink="$D$54" fmlaRange="LU_FLU_RECC_PRICES_GROUP_D" noThreeD="1" sel="8" val="0"/>
</file>

<file path=xl/ctrlProps/ctrlProp113.xml><?xml version="1.0" encoding="utf-8"?>
<formControlPr xmlns="http://schemas.microsoft.com/office/spreadsheetml/2009/9/main" objectType="Drop" dropLines="20" dropStyle="combo" dx="20" fmlaLink="DD_FLU_DETAILED_MICRO_B_PERS_6" fmlaRange="LU_FLU_RECC_PRICES_GROUP_A" noThreeD="1" sel="1" val="0"/>
</file>

<file path=xl/ctrlProps/ctrlProp1130.xml><?xml version="1.0" encoding="utf-8"?>
<formControlPr xmlns="http://schemas.microsoft.com/office/spreadsheetml/2009/9/main" objectType="Drop" dropLines="20" dropStyle="combo" dx="20" fmlaLink="$D$55" fmlaRange="LU_FLU_RECC_PRICES_GROUP_D" noThreeD="1" sel="7" val="0"/>
</file>

<file path=xl/ctrlProps/ctrlProp1131.xml><?xml version="1.0" encoding="utf-8"?>
<formControlPr xmlns="http://schemas.microsoft.com/office/spreadsheetml/2009/9/main" objectType="Drop" dropLines="20" dropStyle="combo" dx="20" fmlaLink="$D$56" fmlaRange="LU_FLU_RECC_PRICES_GROUP_D" noThreeD="1" sel="1" val="0"/>
</file>

<file path=xl/ctrlProps/ctrlProp1132.xml><?xml version="1.0" encoding="utf-8"?>
<formControlPr xmlns="http://schemas.microsoft.com/office/spreadsheetml/2009/9/main" objectType="Drop" dropLines="20" dropStyle="combo" dx="20" fmlaLink="$D$57" fmlaRange="LU_FLU_RECC_PRICES_GROUP_D" noThreeD="1" sel="1" val="0"/>
</file>

<file path=xl/ctrlProps/ctrlProp1133.xml><?xml version="1.0" encoding="utf-8"?>
<formControlPr xmlns="http://schemas.microsoft.com/office/spreadsheetml/2009/9/main" objectType="Drop" dropLines="20" dropStyle="combo" dx="20" fmlaLink="$D$58" fmlaRange="LU_FLU_RECC_PRICES_GROUP_D" noThreeD="1" sel="1" val="0"/>
</file>

<file path=xl/ctrlProps/ctrlProp1134.xml><?xml version="1.0" encoding="utf-8"?>
<formControlPr xmlns="http://schemas.microsoft.com/office/spreadsheetml/2009/9/main" objectType="Drop" dropLines="20" dropStyle="combo" dx="20" fmlaLink="$D$59" fmlaRange="LU_FLU_RECC_PRICES_GROUP_D" noThreeD="1" sel="1" val="0"/>
</file>

<file path=xl/ctrlProps/ctrlProp1135.xml><?xml version="1.0" encoding="utf-8"?>
<formControlPr xmlns="http://schemas.microsoft.com/office/spreadsheetml/2009/9/main" objectType="Drop" dropLines="20" dropStyle="combo" dx="20" fmlaLink="$D$60" fmlaRange="LU_FLU_RECC_PRICES_GROUP_D" noThreeD="1" sel="1" val="0"/>
</file>

<file path=xl/ctrlProps/ctrlProp1136.xml><?xml version="1.0" encoding="utf-8"?>
<formControlPr xmlns="http://schemas.microsoft.com/office/spreadsheetml/2009/9/main" objectType="Drop" dropLines="20" dropStyle="combo" dx="20" fmlaLink="$D$61" fmlaRange="LU_FLU_RECC_PRICES_GROUP_D" noThreeD="1" sel="1" val="0"/>
</file>

<file path=xl/ctrlProps/ctrlProp1137.xml><?xml version="1.0" encoding="utf-8"?>
<formControlPr xmlns="http://schemas.microsoft.com/office/spreadsheetml/2009/9/main" objectType="Drop" dropLines="20" dropStyle="combo" dx="20" fmlaLink="$D$62" fmlaRange="LU_FLU_RECC_PRICES_GROUP_D" noThreeD="1" sel="1" val="0"/>
</file>

<file path=xl/ctrlProps/ctrlProp1138.xml><?xml version="1.0" encoding="utf-8"?>
<formControlPr xmlns="http://schemas.microsoft.com/office/spreadsheetml/2009/9/main" objectType="Drop" dropLines="20" dropStyle="combo" dx="20" fmlaLink="$D$63" fmlaRange="LU_FLU_RECC_PRICES_GROUP_D" noThreeD="1" sel="1" val="0"/>
</file>

<file path=xl/ctrlProps/ctrlProp1139.xml><?xml version="1.0" encoding="utf-8"?>
<formControlPr xmlns="http://schemas.microsoft.com/office/spreadsheetml/2009/9/main" objectType="Drop" dropLines="20" dropStyle="combo" dx="20" fmlaLink="$D$64" fmlaRange="LU_FLU_RECC_PRICES_GROUP_D" noThreeD="1" sel="1" val="0"/>
</file>

<file path=xl/ctrlProps/ctrlProp114.xml><?xml version="1.0" encoding="utf-8"?>
<formControlPr xmlns="http://schemas.microsoft.com/office/spreadsheetml/2009/9/main" objectType="Drop" dropLines="20" dropStyle="combo" dx="20" fmlaLink="DD_FLU_DETAILED_MICRO_B_PERS_7" fmlaRange="LU_FLU_RECC_PRICES_GROUP_A" noThreeD="1" sel="1" val="0"/>
</file>

<file path=xl/ctrlProps/ctrlProp1140.xml><?xml version="1.0" encoding="utf-8"?>
<formControlPr xmlns="http://schemas.microsoft.com/office/spreadsheetml/2009/9/main" objectType="Drop" dropLines="20" dropStyle="combo" dx="20" fmlaLink="$D$65" fmlaRange="LU_FLU_RECC_PRICES_GROUP_D" noThreeD="1" sel="1" val="0"/>
</file>

<file path=xl/ctrlProps/ctrlProp1141.xml><?xml version="1.0" encoding="utf-8"?>
<formControlPr xmlns="http://schemas.microsoft.com/office/spreadsheetml/2009/9/main" objectType="Drop" dropLines="20" dropStyle="combo" dx="20" fmlaLink="$D$66" fmlaRange="LU_FLU_RECC_PRICES_GROUP_D" noThreeD="1" sel="1" val="0"/>
</file>

<file path=xl/ctrlProps/ctrlProp1142.xml><?xml version="1.0" encoding="utf-8"?>
<formControlPr xmlns="http://schemas.microsoft.com/office/spreadsheetml/2009/9/main" objectType="Drop" dropLines="20" dropStyle="combo" dx="20" fmlaLink="$D$67" fmlaRange="LU_FLU_RECC_PRICES_GROUP_D" noThreeD="1" sel="1" val="0"/>
</file>

<file path=xl/ctrlProps/ctrlProp1143.xml><?xml version="1.0" encoding="utf-8"?>
<formControlPr xmlns="http://schemas.microsoft.com/office/spreadsheetml/2009/9/main" objectType="Drop" dropLines="20" dropStyle="combo" dx="20" fmlaLink="$D$68" fmlaRange="LU_FLU_RECC_PRICES_GROUP_D" noThreeD="1" sel="1" val="0"/>
</file>

<file path=xl/ctrlProps/ctrlProp1144.xml><?xml version="1.0" encoding="utf-8"?>
<formControlPr xmlns="http://schemas.microsoft.com/office/spreadsheetml/2009/9/main" objectType="Drop" dropLines="20" dropStyle="combo" dx="20" fmlaLink="$D$73" fmlaRange="LU_FLU_RECC_PRICES_GROUP_E" noThreeD="1" sel="1" val="0"/>
</file>

<file path=xl/ctrlProps/ctrlProp1145.xml><?xml version="1.0" encoding="utf-8"?>
<formControlPr xmlns="http://schemas.microsoft.com/office/spreadsheetml/2009/9/main" objectType="Drop" dropLines="20" dropStyle="combo" dx="20" fmlaLink="$D$74" fmlaRange="LU_FLU_RECC_PRICES_GROUP_E" noThreeD="1" sel="1" val="0"/>
</file>

<file path=xl/ctrlProps/ctrlProp1146.xml><?xml version="1.0" encoding="utf-8"?>
<formControlPr xmlns="http://schemas.microsoft.com/office/spreadsheetml/2009/9/main" objectType="Drop" dropLines="20" dropStyle="combo" dx="20" fmlaLink="$D$75" fmlaRange="LU_FLU_RECC_PRICES_GROUP_E" noThreeD="1" sel="1" val="0"/>
</file>

<file path=xl/ctrlProps/ctrlProp1147.xml><?xml version="1.0" encoding="utf-8"?>
<formControlPr xmlns="http://schemas.microsoft.com/office/spreadsheetml/2009/9/main" objectType="Drop" dropLines="20" dropStyle="combo" dx="20" fmlaLink="$D$76" fmlaRange="LU_FLU_RECC_PRICES_GROUP_E" noThreeD="1" sel="1" val="0"/>
</file>

<file path=xl/ctrlProps/ctrlProp1148.xml><?xml version="1.0" encoding="utf-8"?>
<formControlPr xmlns="http://schemas.microsoft.com/office/spreadsheetml/2009/9/main" objectType="Drop" dropLines="20" dropStyle="combo" dx="20" fmlaLink="$D$77" fmlaRange="LU_FLU_RECC_PRICES_GROUP_E" noThreeD="1" sel="1" val="0"/>
</file>

<file path=xl/ctrlProps/ctrlProp1149.xml><?xml version="1.0" encoding="utf-8"?>
<formControlPr xmlns="http://schemas.microsoft.com/office/spreadsheetml/2009/9/main" objectType="Drop" dropLines="20" dropStyle="combo" dx="20" fmlaLink="$D$78" fmlaRange="LU_FLU_RECC_PRICES_GROUP_E" noThreeD="1" sel="1" val="0"/>
</file>

<file path=xl/ctrlProps/ctrlProp115.xml><?xml version="1.0" encoding="utf-8"?>
<formControlPr xmlns="http://schemas.microsoft.com/office/spreadsheetml/2009/9/main" objectType="Drop" dropLines="20" dropStyle="combo" dx="20" fmlaLink="DD_FLU_DETAILED_MICRO_B_PERS_8" fmlaRange="LU_FLU_RECC_PRICES_GROUP_A" noThreeD="1" sel="1" val="0"/>
</file>

<file path=xl/ctrlProps/ctrlProp1150.xml><?xml version="1.0" encoding="utf-8"?>
<formControlPr xmlns="http://schemas.microsoft.com/office/spreadsheetml/2009/9/main" objectType="Drop" dropLines="20" dropStyle="combo" dx="20" fmlaLink="$D$79" fmlaRange="LU_FLU_RECC_PRICES_GROUP_E" noThreeD="1" sel="1" val="0"/>
</file>

<file path=xl/ctrlProps/ctrlProp1151.xml><?xml version="1.0" encoding="utf-8"?>
<formControlPr xmlns="http://schemas.microsoft.com/office/spreadsheetml/2009/9/main" objectType="Drop" dropLines="20" dropStyle="combo" dx="20" fmlaLink="$D$80" fmlaRange="LU_FLU_RECC_PRICES_GROUP_E" noThreeD="1" sel="1" val="0"/>
</file>

<file path=xl/ctrlProps/ctrlProp1152.xml><?xml version="1.0" encoding="utf-8"?>
<formControlPr xmlns="http://schemas.microsoft.com/office/spreadsheetml/2009/9/main" objectType="Drop" dropLines="20" dropStyle="combo" dx="20" fmlaLink="$D$81" fmlaRange="LU_FLU_RECC_PRICES_GROUP_E" noThreeD="1" sel="1" val="0"/>
</file>

<file path=xl/ctrlProps/ctrlProp1153.xml><?xml version="1.0" encoding="utf-8"?>
<formControlPr xmlns="http://schemas.microsoft.com/office/spreadsheetml/2009/9/main" objectType="Drop" dropLines="20" dropStyle="combo" dx="20" fmlaLink="$D$82" fmlaRange="LU_FLU_RECC_PRICES_GROUP_E" noThreeD="1" sel="1" val="0"/>
</file>

<file path=xl/ctrlProps/ctrlProp1154.xml><?xml version="1.0" encoding="utf-8"?>
<formControlPr xmlns="http://schemas.microsoft.com/office/spreadsheetml/2009/9/main" objectType="Drop" dropLines="20" dropStyle="combo" dx="20" fmlaLink="$D$83" fmlaRange="LU_FLU_RECC_PRICES_GROUP_E" noThreeD="1" sel="1" val="0"/>
</file>

<file path=xl/ctrlProps/ctrlProp1155.xml><?xml version="1.0" encoding="utf-8"?>
<formControlPr xmlns="http://schemas.microsoft.com/office/spreadsheetml/2009/9/main" objectType="Drop" dropLines="20" dropStyle="combo" dx="20" fmlaLink="$D$84" fmlaRange="LU_FLU_RECC_PRICES_GROUP_E" noThreeD="1" sel="1" val="0"/>
</file>

<file path=xl/ctrlProps/ctrlProp1156.xml><?xml version="1.0" encoding="utf-8"?>
<formControlPr xmlns="http://schemas.microsoft.com/office/spreadsheetml/2009/9/main" objectType="Drop" dropLines="20" dropStyle="combo" dx="20" fmlaLink="$D$85" fmlaRange="LU_FLU_RECC_PRICES_GROUP_E" noThreeD="1" sel="1" val="0"/>
</file>

<file path=xl/ctrlProps/ctrlProp1157.xml><?xml version="1.0" encoding="utf-8"?>
<formControlPr xmlns="http://schemas.microsoft.com/office/spreadsheetml/2009/9/main" objectType="Drop" dropLines="20" dropStyle="combo" dx="20" fmlaLink="$D$86" fmlaRange="LU_FLU_RECC_PRICES_GROUP_E" noThreeD="1" sel="1" val="0"/>
</file>

<file path=xl/ctrlProps/ctrlProp1158.xml><?xml version="1.0" encoding="utf-8"?>
<formControlPr xmlns="http://schemas.microsoft.com/office/spreadsheetml/2009/9/main" objectType="Drop" dropLines="20" dropStyle="combo" dx="20" fmlaLink="$D$87" fmlaRange="LU_FLU_RECC_PRICES_GROUP_E" noThreeD="1" sel="1" val="0"/>
</file>

<file path=xl/ctrlProps/ctrlProp1159.xml><?xml version="1.0" encoding="utf-8"?>
<formControlPr xmlns="http://schemas.microsoft.com/office/spreadsheetml/2009/9/main" objectType="Drop" dropLines="20" dropStyle="combo" dx="20" fmlaLink="$I$16" fmlaRange="LU_FLU_Personnel_Unit_Cost_Categories" noThreeD="1" sel="1" val="0"/>
</file>

<file path=xl/ctrlProps/ctrlProp116.xml><?xml version="1.0" encoding="utf-8"?>
<formControlPr xmlns="http://schemas.microsoft.com/office/spreadsheetml/2009/9/main" objectType="Drop" dropLines="20" dropStyle="combo" dx="20" fmlaLink="DD_FLU_DETAILED_MICRO_B_PERS_9" fmlaRange="LU_FLU_RECC_PRICES_GROUP_A" noThreeD="1" sel="1" val="0"/>
</file>

<file path=xl/ctrlProps/ctrlProp1160.xml><?xml version="1.0" encoding="utf-8"?>
<formControlPr xmlns="http://schemas.microsoft.com/office/spreadsheetml/2009/9/main" objectType="Drop" dropLines="20" dropStyle="combo" dx="20" fmlaLink="$I$17" fmlaRange="LU_FLU_Personnel_Unit_Cost_Categories" noThreeD="1" sel="1" val="0"/>
</file>

<file path=xl/ctrlProps/ctrlProp1161.xml><?xml version="1.0" encoding="utf-8"?>
<formControlPr xmlns="http://schemas.microsoft.com/office/spreadsheetml/2009/9/main" objectType="Drop" dropLines="20" dropStyle="combo" dx="20" fmlaLink="$I$18" fmlaRange="LU_FLU_Personnel_Unit_Cost_Categories" noThreeD="1" sel="1" val="0"/>
</file>

<file path=xl/ctrlProps/ctrlProp1162.xml><?xml version="1.0" encoding="utf-8"?>
<formControlPr xmlns="http://schemas.microsoft.com/office/spreadsheetml/2009/9/main" objectType="Drop" dropLines="20" dropStyle="combo" dx="20" fmlaLink="$I$19" fmlaRange="LU_FLU_Personnel_Unit_Cost_Categories" noThreeD="1" sel="1" val="0"/>
</file>

<file path=xl/ctrlProps/ctrlProp1163.xml><?xml version="1.0" encoding="utf-8"?>
<formControlPr xmlns="http://schemas.microsoft.com/office/spreadsheetml/2009/9/main" objectType="Drop" dropLines="20" dropStyle="combo" dx="20" fmlaLink="$I$20" fmlaRange="LU_FLU_Personnel_Unit_Cost_Categories" noThreeD="1" sel="1" val="0"/>
</file>

<file path=xl/ctrlProps/ctrlProp1164.xml><?xml version="1.0" encoding="utf-8"?>
<formControlPr xmlns="http://schemas.microsoft.com/office/spreadsheetml/2009/9/main" objectType="Drop" dropLines="20" dropStyle="combo" dx="20" fmlaLink="$I$21" fmlaRange="LU_FLU_Personnel_Unit_Cost_Categories" noThreeD="1" sel="1" val="0"/>
</file>

<file path=xl/ctrlProps/ctrlProp1165.xml><?xml version="1.0" encoding="utf-8"?>
<formControlPr xmlns="http://schemas.microsoft.com/office/spreadsheetml/2009/9/main" objectType="Drop" dropLines="20" dropStyle="combo" dx="20" fmlaLink="$I$22" fmlaRange="LU_FLU_Personnel_Unit_Cost_Categories" noThreeD="1" sel="1" val="0"/>
</file>

<file path=xl/ctrlProps/ctrlProp1166.xml><?xml version="1.0" encoding="utf-8"?>
<formControlPr xmlns="http://schemas.microsoft.com/office/spreadsheetml/2009/9/main" objectType="Drop" dropLines="20" dropStyle="combo" dx="20" fmlaLink="$I$23" fmlaRange="LU_FLU_Personnel_Unit_Cost_Categories" noThreeD="1" sel="1" val="0"/>
</file>

<file path=xl/ctrlProps/ctrlProp1167.xml><?xml version="1.0" encoding="utf-8"?>
<formControlPr xmlns="http://schemas.microsoft.com/office/spreadsheetml/2009/9/main" objectType="Drop" dropLines="20" dropStyle="combo" dx="20" fmlaLink="$I$24" fmlaRange="LU_FLU_Personnel_Unit_Cost_Categories" noThreeD="1" sel="1" val="0"/>
</file>

<file path=xl/ctrlProps/ctrlProp1168.xml><?xml version="1.0" encoding="utf-8"?>
<formControlPr xmlns="http://schemas.microsoft.com/office/spreadsheetml/2009/9/main" objectType="Drop" dropLines="20" dropStyle="combo" dx="20" fmlaLink="$I$25" fmlaRange="LU_FLU_Personnel_Unit_Cost_Categories" noThreeD="1" sel="1" val="0"/>
</file>

<file path=xl/ctrlProps/ctrlProp1169.xml><?xml version="1.0" encoding="utf-8"?>
<formControlPr xmlns="http://schemas.microsoft.com/office/spreadsheetml/2009/9/main" objectType="Drop" dropLines="20" dropStyle="combo" dx="20" fmlaLink="$I$26" fmlaRange="LU_FLU_Personnel_Unit_Cost_Categories" noThreeD="1" sel="1" val="0"/>
</file>

<file path=xl/ctrlProps/ctrlProp117.xml><?xml version="1.0" encoding="utf-8"?>
<formControlPr xmlns="http://schemas.microsoft.com/office/spreadsheetml/2009/9/main" objectType="Drop" dropLines="20" dropStyle="combo" dx="20" fmlaLink="DD_FLU_DETAILED_MICRO_B_PERS_10" fmlaRange="LU_FLU_RECC_PRICES_GROUP_A" noThreeD="1" sel="1" val="0"/>
</file>

<file path=xl/ctrlProps/ctrlProp1170.xml><?xml version="1.0" encoding="utf-8"?>
<formControlPr xmlns="http://schemas.microsoft.com/office/spreadsheetml/2009/9/main" objectType="Drop" dropLines="20" dropStyle="combo" dx="20" fmlaLink="$I$27" fmlaRange="LU_FLU_Personnel_Unit_Cost_Categories" noThreeD="1" sel="1" val="0"/>
</file>

<file path=xl/ctrlProps/ctrlProp1171.xml><?xml version="1.0" encoding="utf-8"?>
<formControlPr xmlns="http://schemas.microsoft.com/office/spreadsheetml/2009/9/main" objectType="Drop" dropLines="20" dropStyle="combo" dx="20" fmlaLink="$I$28" fmlaRange="LU_FLU_Personnel_Unit_Cost_Categories" noThreeD="1" sel="1" val="0"/>
</file>

<file path=xl/ctrlProps/ctrlProp1172.xml><?xml version="1.0" encoding="utf-8"?>
<formControlPr xmlns="http://schemas.microsoft.com/office/spreadsheetml/2009/9/main" objectType="Drop" dropLines="20" dropStyle="combo" dx="20" fmlaLink="$I$29" fmlaRange="LU_FLU_Personnel_Unit_Cost_Categories" noThreeD="1" sel="1" val="0"/>
</file>

<file path=xl/ctrlProps/ctrlProp1173.xml><?xml version="1.0" encoding="utf-8"?>
<formControlPr xmlns="http://schemas.microsoft.com/office/spreadsheetml/2009/9/main" objectType="Drop" dropLines="20" dropStyle="combo" dx="20" fmlaLink="$I$30" fmlaRange="LU_FLU_Personnel_Unit_Cost_Categories" noThreeD="1" sel="1" val="0"/>
</file>

<file path=xl/ctrlProps/ctrlProp1174.xml><?xml version="1.0" encoding="utf-8"?>
<formControlPr xmlns="http://schemas.microsoft.com/office/spreadsheetml/2009/9/main" objectType="Drop" dropLines="20" dropStyle="combo" dx="20" fmlaLink="$D$99" fmlaRange="LU_FLU_RECC_PRICES_GROUP_A" noThreeD="1" sel="11" val="0"/>
</file>

<file path=xl/ctrlProps/ctrlProp1175.xml><?xml version="1.0" encoding="utf-8"?>
<formControlPr xmlns="http://schemas.microsoft.com/office/spreadsheetml/2009/9/main" objectType="Drop" dropLines="20" dropStyle="combo" dx="20" fmlaLink="$D$100" fmlaRange="LU_FLU_RECC_PRICES_GROUP_A" noThreeD="1" sel="20" val="5"/>
</file>

<file path=xl/ctrlProps/ctrlProp1176.xml><?xml version="1.0" encoding="utf-8"?>
<formControlPr xmlns="http://schemas.microsoft.com/office/spreadsheetml/2009/9/main" objectType="Drop" dropLines="20" dropStyle="combo" dx="20" fmlaLink="$D$101" fmlaRange="LU_FLU_RECC_PRICES_GROUP_A" noThreeD="1" sel="1" val="0"/>
</file>

<file path=xl/ctrlProps/ctrlProp1177.xml><?xml version="1.0" encoding="utf-8"?>
<formControlPr xmlns="http://schemas.microsoft.com/office/spreadsheetml/2009/9/main" objectType="Drop" dropLines="20" dropStyle="combo" dx="20" fmlaLink="$D$102" fmlaRange="LU_FLU_RECC_PRICES_GROUP_A" noThreeD="1" sel="1" val="0"/>
</file>

<file path=xl/ctrlProps/ctrlProp1178.xml><?xml version="1.0" encoding="utf-8"?>
<formControlPr xmlns="http://schemas.microsoft.com/office/spreadsheetml/2009/9/main" objectType="Drop" dropLines="20" dropStyle="combo" dx="20" fmlaLink="$D$103" fmlaRange="LU_FLU_RECC_PRICES_GROUP_A" noThreeD="1" sel="1" val="0"/>
</file>

<file path=xl/ctrlProps/ctrlProp1179.xml><?xml version="1.0" encoding="utf-8"?>
<formControlPr xmlns="http://schemas.microsoft.com/office/spreadsheetml/2009/9/main" objectType="Drop" dropLines="20" dropStyle="combo" dx="20" fmlaLink="$D$104" fmlaRange="LU_FLU_RECC_PRICES_GROUP_A" noThreeD="1" sel="1" val="0"/>
</file>

<file path=xl/ctrlProps/ctrlProp118.xml><?xml version="1.0" encoding="utf-8"?>
<formControlPr xmlns="http://schemas.microsoft.com/office/spreadsheetml/2009/9/main" objectType="Drop" dropLines="20" dropStyle="combo" dx="20" fmlaLink="DD_FLU_DETAILED_MICRO_B_PERS_11" fmlaRange="LU_FLU_RECC_PRICES_GROUP_A" noThreeD="1" sel="1" val="0"/>
</file>

<file path=xl/ctrlProps/ctrlProp1180.xml><?xml version="1.0" encoding="utf-8"?>
<formControlPr xmlns="http://schemas.microsoft.com/office/spreadsheetml/2009/9/main" objectType="Drop" dropLines="20" dropStyle="combo" dx="20" fmlaLink="$D$105" fmlaRange="LU_FLU_RECC_PRICES_GROUP_A" noThreeD="1" sel="1" val="0"/>
</file>

<file path=xl/ctrlProps/ctrlProp1181.xml><?xml version="1.0" encoding="utf-8"?>
<formControlPr xmlns="http://schemas.microsoft.com/office/spreadsheetml/2009/9/main" objectType="Drop" dropLines="20" dropStyle="combo" dx="20" fmlaLink="$D$106" fmlaRange="LU_FLU_RECC_PRICES_GROUP_A" noThreeD="1" sel="1" val="0"/>
</file>

<file path=xl/ctrlProps/ctrlProp1182.xml><?xml version="1.0" encoding="utf-8"?>
<formControlPr xmlns="http://schemas.microsoft.com/office/spreadsheetml/2009/9/main" objectType="Drop" dropLines="20" dropStyle="combo" dx="20" fmlaLink="$D$107" fmlaRange="LU_FLU_RECC_PRICES_GROUP_A" noThreeD="1" sel="1" val="0"/>
</file>

<file path=xl/ctrlProps/ctrlProp1183.xml><?xml version="1.0" encoding="utf-8"?>
<formControlPr xmlns="http://schemas.microsoft.com/office/spreadsheetml/2009/9/main" objectType="Drop" dropLines="20" dropStyle="combo" dx="20" fmlaLink="$D$108" fmlaRange="LU_FLU_RECC_PRICES_GROUP_A" noThreeD="1" sel="1" val="0"/>
</file>

<file path=xl/ctrlProps/ctrlProp1184.xml><?xml version="1.0" encoding="utf-8"?>
<formControlPr xmlns="http://schemas.microsoft.com/office/spreadsheetml/2009/9/main" objectType="Drop" dropLines="20" dropStyle="combo" dx="20" fmlaLink="$D$109" fmlaRange="LU_FLU_RECC_PRICES_GROUP_A" noThreeD="1" sel="1" val="0"/>
</file>

<file path=xl/ctrlProps/ctrlProp1185.xml><?xml version="1.0" encoding="utf-8"?>
<formControlPr xmlns="http://schemas.microsoft.com/office/spreadsheetml/2009/9/main" objectType="Drop" dropLines="20" dropStyle="combo" dx="20" fmlaLink="$D$110" fmlaRange="LU_FLU_RECC_PRICES_GROUP_A" noThreeD="1" sel="1" val="0"/>
</file>

<file path=xl/ctrlProps/ctrlProp1186.xml><?xml version="1.0" encoding="utf-8"?>
<formControlPr xmlns="http://schemas.microsoft.com/office/spreadsheetml/2009/9/main" objectType="Drop" dropLines="20" dropStyle="combo" dx="20" fmlaLink="$D$111" fmlaRange="LU_FLU_RECC_PRICES_GROUP_A" noThreeD="1" sel="1" val="0"/>
</file>

<file path=xl/ctrlProps/ctrlProp1187.xml><?xml version="1.0" encoding="utf-8"?>
<formControlPr xmlns="http://schemas.microsoft.com/office/spreadsheetml/2009/9/main" objectType="Drop" dropLines="20" dropStyle="combo" dx="20" fmlaLink="$D$112" fmlaRange="LU_FLU_RECC_PRICES_GROUP_A" noThreeD="1" sel="1" val="0"/>
</file>

<file path=xl/ctrlProps/ctrlProp1188.xml><?xml version="1.0" encoding="utf-8"?>
<formControlPr xmlns="http://schemas.microsoft.com/office/spreadsheetml/2009/9/main" objectType="Drop" dropLines="20" dropStyle="combo" dx="20" fmlaLink="$D$113" fmlaRange="LU_FLU_RECC_PRICES_GROUP_A" noThreeD="1" sel="1" val="0"/>
</file>

<file path=xl/ctrlProps/ctrlProp1189.xml><?xml version="1.0" encoding="utf-8"?>
<formControlPr xmlns="http://schemas.microsoft.com/office/spreadsheetml/2009/9/main" objectType="Drop" dropLines="20" dropStyle="combo" dx="20" fmlaLink="$D$118" fmlaRange="LU_FLU_RECC_PRICES_GROUP_C" noThreeD="1" sel="1" val="0"/>
</file>

<file path=xl/ctrlProps/ctrlProp119.xml><?xml version="1.0" encoding="utf-8"?>
<formControlPr xmlns="http://schemas.microsoft.com/office/spreadsheetml/2009/9/main" objectType="Drop" dropLines="20" dropStyle="combo" dx="20" fmlaLink="DD_FLU_DETAILED_MICRO_B_PERS_12" fmlaRange="LU_FLU_RECC_PRICES_GROUP_A" noThreeD="1" sel="1" val="0"/>
</file>

<file path=xl/ctrlProps/ctrlProp1190.xml><?xml version="1.0" encoding="utf-8"?>
<formControlPr xmlns="http://schemas.microsoft.com/office/spreadsheetml/2009/9/main" objectType="Drop" dropLines="20" dropStyle="combo" dx="20" fmlaLink="$D$119" fmlaRange="LU_FLU_RECC_PRICES_GROUP_C" noThreeD="1" sel="1" val="0"/>
</file>

<file path=xl/ctrlProps/ctrlProp1191.xml><?xml version="1.0" encoding="utf-8"?>
<formControlPr xmlns="http://schemas.microsoft.com/office/spreadsheetml/2009/9/main" objectType="Drop" dropLines="20" dropStyle="combo" dx="20" fmlaLink="$D$120" fmlaRange="LU_FLU_RECC_PRICES_GROUP_C" noThreeD="1" sel="1" val="0"/>
</file>

<file path=xl/ctrlProps/ctrlProp1192.xml><?xml version="1.0" encoding="utf-8"?>
<formControlPr xmlns="http://schemas.microsoft.com/office/spreadsheetml/2009/9/main" objectType="Drop" dropLines="20" dropStyle="combo" dx="20" fmlaLink="$D$121" fmlaRange="LU_FLU_RECC_PRICES_GROUP_C" noThreeD="1" sel="1" val="0"/>
</file>

<file path=xl/ctrlProps/ctrlProp1193.xml><?xml version="1.0" encoding="utf-8"?>
<formControlPr xmlns="http://schemas.microsoft.com/office/spreadsheetml/2009/9/main" objectType="Drop" dropLines="20" dropStyle="combo" dx="20" fmlaLink="$D$122" fmlaRange="LU_FLU_RECC_PRICES_GROUP_C" noThreeD="1" sel="1" val="0"/>
</file>

<file path=xl/ctrlProps/ctrlProp1194.xml><?xml version="1.0" encoding="utf-8"?>
<formControlPr xmlns="http://schemas.microsoft.com/office/spreadsheetml/2009/9/main" objectType="Drop" dropLines="20" dropStyle="combo" dx="20" fmlaLink="$D$123" fmlaRange="LU_FLU_RECC_PRICES_GROUP_C" noThreeD="1" sel="1" val="0"/>
</file>

<file path=xl/ctrlProps/ctrlProp1195.xml><?xml version="1.0" encoding="utf-8"?>
<formControlPr xmlns="http://schemas.microsoft.com/office/spreadsheetml/2009/9/main" objectType="Drop" dropLines="20" dropStyle="combo" dx="20" fmlaLink="$D$124" fmlaRange="LU_FLU_RECC_PRICES_GROUP_C" noThreeD="1" sel="1" val="0"/>
</file>

<file path=xl/ctrlProps/ctrlProp1196.xml><?xml version="1.0" encoding="utf-8"?>
<formControlPr xmlns="http://schemas.microsoft.com/office/spreadsheetml/2009/9/main" objectType="Drop" dropLines="20" dropStyle="combo" dx="20" fmlaLink="$D$125" fmlaRange="LU_FLU_RECC_PRICES_GROUP_C" noThreeD="1" sel="1" val="0"/>
</file>

<file path=xl/ctrlProps/ctrlProp1197.xml><?xml version="1.0" encoding="utf-8"?>
<formControlPr xmlns="http://schemas.microsoft.com/office/spreadsheetml/2009/9/main" objectType="Drop" dropLines="20" dropStyle="combo" dx="20" fmlaLink="$D$126" fmlaRange="LU_FLU_RECC_PRICES_GROUP_C" noThreeD="1" sel="1" val="0"/>
</file>

<file path=xl/ctrlProps/ctrlProp1198.xml><?xml version="1.0" encoding="utf-8"?>
<formControlPr xmlns="http://schemas.microsoft.com/office/spreadsheetml/2009/9/main" objectType="Drop" dropLines="20" dropStyle="combo" dx="20" fmlaLink="$D$127" fmlaRange="LU_FLU_RECC_PRICES_GROUP_C" noThreeD="1" sel="1" val="0"/>
</file>

<file path=xl/ctrlProps/ctrlProp1199.xml><?xml version="1.0" encoding="utf-8"?>
<formControlPr xmlns="http://schemas.microsoft.com/office/spreadsheetml/2009/9/main" objectType="Drop" dropLines="20" dropStyle="combo" dx="20" fmlaLink="$D$128" fmlaRange="LU_FLU_RECC_PRICES_GROUP_C" noThreeD="1" sel="1" val="0"/>
</file>

<file path=xl/ctrlProps/ctrlProp12.xml><?xml version="1.0" encoding="utf-8"?>
<formControlPr xmlns="http://schemas.microsoft.com/office/spreadsheetml/2009/9/main" objectType="Drop" dropLines="20" dropStyle="combo" dx="16" fmlaLink="$G$88" fmlaRange="LU_FLU_Curr_Code" noThreeD="1" sel="2" val="0"/>
</file>

<file path=xl/ctrlProps/ctrlProp120.xml><?xml version="1.0" encoding="utf-8"?>
<formControlPr xmlns="http://schemas.microsoft.com/office/spreadsheetml/2009/9/main" objectType="Drop" dropLines="20" dropStyle="combo" dx="20" fmlaLink="DD_FLU_DETAILED_MICRO_B_PERS_13" fmlaRange="LU_FLU_RECC_PRICES_GROUP_A" noThreeD="1" sel="1" val="0"/>
</file>

<file path=xl/ctrlProps/ctrlProp1200.xml><?xml version="1.0" encoding="utf-8"?>
<formControlPr xmlns="http://schemas.microsoft.com/office/spreadsheetml/2009/9/main" objectType="Drop" dropLines="20" dropStyle="combo" dx="20" fmlaLink="$D$129" fmlaRange="LU_FLU_RECC_PRICES_GROUP_C" noThreeD="1" sel="1" val="0"/>
</file>

<file path=xl/ctrlProps/ctrlProp1201.xml><?xml version="1.0" encoding="utf-8"?>
<formControlPr xmlns="http://schemas.microsoft.com/office/spreadsheetml/2009/9/main" objectType="Drop" dropLines="20" dropStyle="combo" dx="20" fmlaLink="$D$130" fmlaRange="LU_FLU_RECC_PRICES_GROUP_C" noThreeD="1" sel="1" val="0"/>
</file>

<file path=xl/ctrlProps/ctrlProp1202.xml><?xml version="1.0" encoding="utf-8"?>
<formControlPr xmlns="http://schemas.microsoft.com/office/spreadsheetml/2009/9/main" objectType="Drop" dropLines="20" dropStyle="combo" dx="20" fmlaLink="$D$131" fmlaRange="LU_FLU_RECC_PRICES_GROUP_C" noThreeD="1" sel="1" val="0"/>
</file>

<file path=xl/ctrlProps/ctrlProp1203.xml><?xml version="1.0" encoding="utf-8"?>
<formControlPr xmlns="http://schemas.microsoft.com/office/spreadsheetml/2009/9/main" objectType="Drop" dropLines="20" dropStyle="combo" dx="20" fmlaLink="$D$132" fmlaRange="LU_FLU_RECC_PRICES_GROUP_C" noThreeD="1" sel="1" val="0"/>
</file>

<file path=xl/ctrlProps/ctrlProp1204.xml><?xml version="1.0" encoding="utf-8"?>
<formControlPr xmlns="http://schemas.microsoft.com/office/spreadsheetml/2009/9/main" objectType="Drop" dropLines="20" dropStyle="combo" dx="20" fmlaLink="$D$137" fmlaRange="LU_FLU_RECC_PRICES_GROUP_D" noThreeD="1" sel="8" val="0"/>
</file>

<file path=xl/ctrlProps/ctrlProp1205.xml><?xml version="1.0" encoding="utf-8"?>
<formControlPr xmlns="http://schemas.microsoft.com/office/spreadsheetml/2009/9/main" objectType="Drop" dropLines="20" dropStyle="combo" dx="20" fmlaLink="$D$138" fmlaRange="LU_FLU_RECC_PRICES_GROUP_D" noThreeD="1" sel="7" val="4"/>
</file>

<file path=xl/ctrlProps/ctrlProp1206.xml><?xml version="1.0" encoding="utf-8"?>
<formControlPr xmlns="http://schemas.microsoft.com/office/spreadsheetml/2009/9/main" objectType="Drop" dropLines="20" dropStyle="combo" dx="20" fmlaLink="$D$139" fmlaRange="LU_FLU_RECC_PRICES_GROUP_D" noThreeD="1" sel="1" val="0"/>
</file>

<file path=xl/ctrlProps/ctrlProp1207.xml><?xml version="1.0" encoding="utf-8"?>
<formControlPr xmlns="http://schemas.microsoft.com/office/spreadsheetml/2009/9/main" objectType="Drop" dropLines="20" dropStyle="combo" dx="20" fmlaLink="$D$140" fmlaRange="LU_FLU_RECC_PRICES_GROUP_D" noThreeD="1" sel="1" val="0"/>
</file>

<file path=xl/ctrlProps/ctrlProp1208.xml><?xml version="1.0" encoding="utf-8"?>
<formControlPr xmlns="http://schemas.microsoft.com/office/spreadsheetml/2009/9/main" objectType="Drop" dropLines="20" dropStyle="combo" dx="20" fmlaLink="$D$141" fmlaRange="LU_FLU_RECC_PRICES_GROUP_D" noThreeD="1" sel="1" val="0"/>
</file>

<file path=xl/ctrlProps/ctrlProp1209.xml><?xml version="1.0" encoding="utf-8"?>
<formControlPr xmlns="http://schemas.microsoft.com/office/spreadsheetml/2009/9/main" objectType="Drop" dropLines="20" dropStyle="combo" dx="20" fmlaLink="$D$142" fmlaRange="LU_FLU_RECC_PRICES_GROUP_D" noThreeD="1" sel="1" val="0"/>
</file>

<file path=xl/ctrlProps/ctrlProp121.xml><?xml version="1.0" encoding="utf-8"?>
<formControlPr xmlns="http://schemas.microsoft.com/office/spreadsheetml/2009/9/main" objectType="Drop" dropLines="20" dropStyle="combo" dx="20" fmlaLink="DD_FLU_DETAILED_MICRO_B_PERS_14" fmlaRange="LU_FLU_RECC_PRICES_GROUP_A" noThreeD="1" sel="1" val="0"/>
</file>

<file path=xl/ctrlProps/ctrlProp1210.xml><?xml version="1.0" encoding="utf-8"?>
<formControlPr xmlns="http://schemas.microsoft.com/office/spreadsheetml/2009/9/main" objectType="Drop" dropLines="20" dropStyle="combo" dx="20" fmlaLink="$D$143" fmlaRange="LU_FLU_RECC_PRICES_GROUP_D" noThreeD="1" sel="1" val="0"/>
</file>

<file path=xl/ctrlProps/ctrlProp1211.xml><?xml version="1.0" encoding="utf-8"?>
<formControlPr xmlns="http://schemas.microsoft.com/office/spreadsheetml/2009/9/main" objectType="Drop" dropLines="20" dropStyle="combo" dx="20" fmlaLink="$D$144" fmlaRange="LU_FLU_RECC_PRICES_GROUP_D" noThreeD="1" sel="1" val="0"/>
</file>

<file path=xl/ctrlProps/ctrlProp1212.xml><?xml version="1.0" encoding="utf-8"?>
<formControlPr xmlns="http://schemas.microsoft.com/office/spreadsheetml/2009/9/main" objectType="Drop" dropLines="20" dropStyle="combo" dx="20" fmlaLink="$D$145" fmlaRange="LU_FLU_RECC_PRICES_GROUP_D" noThreeD="1" sel="1" val="0"/>
</file>

<file path=xl/ctrlProps/ctrlProp1213.xml><?xml version="1.0" encoding="utf-8"?>
<formControlPr xmlns="http://schemas.microsoft.com/office/spreadsheetml/2009/9/main" objectType="Drop" dropLines="20" dropStyle="combo" dx="20" fmlaLink="$D$146" fmlaRange="LU_FLU_RECC_PRICES_GROUP_D" noThreeD="1" sel="1" val="0"/>
</file>

<file path=xl/ctrlProps/ctrlProp1214.xml><?xml version="1.0" encoding="utf-8"?>
<formControlPr xmlns="http://schemas.microsoft.com/office/spreadsheetml/2009/9/main" objectType="Drop" dropLines="20" dropStyle="combo" dx="20" fmlaLink="$D$147" fmlaRange="LU_FLU_RECC_PRICES_GROUP_D" noThreeD="1" sel="1" val="0"/>
</file>

<file path=xl/ctrlProps/ctrlProp1215.xml><?xml version="1.0" encoding="utf-8"?>
<formControlPr xmlns="http://schemas.microsoft.com/office/spreadsheetml/2009/9/main" objectType="Drop" dropLines="20" dropStyle="combo" dx="20" fmlaLink="$D$148" fmlaRange="LU_FLU_RECC_PRICES_GROUP_D" noThreeD="1" sel="1" val="0"/>
</file>

<file path=xl/ctrlProps/ctrlProp1216.xml><?xml version="1.0" encoding="utf-8"?>
<formControlPr xmlns="http://schemas.microsoft.com/office/spreadsheetml/2009/9/main" objectType="Drop" dropLines="20" dropStyle="combo" dx="20" fmlaLink="$D$149" fmlaRange="LU_FLU_RECC_PRICES_GROUP_D" noThreeD="1" sel="1" val="0"/>
</file>

<file path=xl/ctrlProps/ctrlProp1217.xml><?xml version="1.0" encoding="utf-8"?>
<formControlPr xmlns="http://schemas.microsoft.com/office/spreadsheetml/2009/9/main" objectType="Drop" dropLines="20" dropStyle="combo" dx="20" fmlaLink="$D$150" fmlaRange="LU_FLU_RECC_PRICES_GROUP_D" noThreeD="1" sel="1" val="0"/>
</file>

<file path=xl/ctrlProps/ctrlProp1218.xml><?xml version="1.0" encoding="utf-8"?>
<formControlPr xmlns="http://schemas.microsoft.com/office/spreadsheetml/2009/9/main" objectType="Drop" dropLines="20" dropStyle="combo" dx="20" fmlaLink="$D$151" fmlaRange="LU_FLU_RECC_PRICES_GROUP_D" noThreeD="1" sel="1" val="0"/>
</file>

<file path=xl/ctrlProps/ctrlProp1219.xml><?xml version="1.0" encoding="utf-8"?>
<formControlPr xmlns="http://schemas.microsoft.com/office/spreadsheetml/2009/9/main" objectType="Drop" dropLines="20" dropStyle="combo" dx="20" fmlaLink="$D$156" fmlaRange="LU_FLU_RECC_PRICES_GROUP_E" noThreeD="1" sel="1" val="0"/>
</file>

<file path=xl/ctrlProps/ctrlProp122.xml><?xml version="1.0" encoding="utf-8"?>
<formControlPr xmlns="http://schemas.microsoft.com/office/spreadsheetml/2009/9/main" objectType="Drop" dropLines="20" dropStyle="combo" dx="20" fmlaLink="DD_FLU_MICROB_PERS_TIME_1" fmlaRange="LU_FLU_Personnel_Unit_Cost_Categories" noThreeD="1" sel="1" val="0"/>
</file>

<file path=xl/ctrlProps/ctrlProp1220.xml><?xml version="1.0" encoding="utf-8"?>
<formControlPr xmlns="http://schemas.microsoft.com/office/spreadsheetml/2009/9/main" objectType="Drop" dropLines="20" dropStyle="combo" dx="20" fmlaLink="$D$157" fmlaRange="LU_FLU_RECC_PRICES_GROUP_E" noThreeD="1" sel="1" val="0"/>
</file>

<file path=xl/ctrlProps/ctrlProp1221.xml><?xml version="1.0" encoding="utf-8"?>
<formControlPr xmlns="http://schemas.microsoft.com/office/spreadsheetml/2009/9/main" objectType="Drop" dropLines="20" dropStyle="combo" dx="20" fmlaLink="$D$158" fmlaRange="LU_FLU_RECC_PRICES_GROUP_E" noThreeD="1" sel="1" val="0"/>
</file>

<file path=xl/ctrlProps/ctrlProp1222.xml><?xml version="1.0" encoding="utf-8"?>
<formControlPr xmlns="http://schemas.microsoft.com/office/spreadsheetml/2009/9/main" objectType="Drop" dropLines="20" dropStyle="combo" dx="20" fmlaLink="$D$159" fmlaRange="LU_FLU_RECC_PRICES_GROUP_E" noThreeD="1" sel="1" val="0"/>
</file>

<file path=xl/ctrlProps/ctrlProp1223.xml><?xml version="1.0" encoding="utf-8"?>
<formControlPr xmlns="http://schemas.microsoft.com/office/spreadsheetml/2009/9/main" objectType="Drop" dropLines="20" dropStyle="combo" dx="20" fmlaLink="$D$160" fmlaRange="LU_FLU_RECC_PRICES_GROUP_E" noThreeD="1" sel="1" val="0"/>
</file>

<file path=xl/ctrlProps/ctrlProp1224.xml><?xml version="1.0" encoding="utf-8"?>
<formControlPr xmlns="http://schemas.microsoft.com/office/spreadsheetml/2009/9/main" objectType="Drop" dropLines="20" dropStyle="combo" dx="20" fmlaLink="$D$161" fmlaRange="LU_FLU_RECC_PRICES_GROUP_E" noThreeD="1" sel="1" val="0"/>
</file>

<file path=xl/ctrlProps/ctrlProp1225.xml><?xml version="1.0" encoding="utf-8"?>
<formControlPr xmlns="http://schemas.microsoft.com/office/spreadsheetml/2009/9/main" objectType="Drop" dropLines="20" dropStyle="combo" dx="20" fmlaLink="$D$162" fmlaRange="LU_FLU_RECC_PRICES_GROUP_E" noThreeD="1" sel="1" val="0"/>
</file>

<file path=xl/ctrlProps/ctrlProp1226.xml><?xml version="1.0" encoding="utf-8"?>
<formControlPr xmlns="http://schemas.microsoft.com/office/spreadsheetml/2009/9/main" objectType="Drop" dropLines="20" dropStyle="combo" dx="20" fmlaLink="$D$163" fmlaRange="LU_FLU_RECC_PRICES_GROUP_E" noThreeD="1" sel="1" val="0"/>
</file>

<file path=xl/ctrlProps/ctrlProp1227.xml><?xml version="1.0" encoding="utf-8"?>
<formControlPr xmlns="http://schemas.microsoft.com/office/spreadsheetml/2009/9/main" objectType="Drop" dropLines="20" dropStyle="combo" dx="20" fmlaLink="$D$164" fmlaRange="LU_FLU_RECC_PRICES_GROUP_E" noThreeD="1" sel="1" val="0"/>
</file>

<file path=xl/ctrlProps/ctrlProp1228.xml><?xml version="1.0" encoding="utf-8"?>
<formControlPr xmlns="http://schemas.microsoft.com/office/spreadsheetml/2009/9/main" objectType="Drop" dropLines="20" dropStyle="combo" dx="20" fmlaLink="$D$165" fmlaRange="LU_FLU_RECC_PRICES_GROUP_E" noThreeD="1" sel="1" val="0"/>
</file>

<file path=xl/ctrlProps/ctrlProp1229.xml><?xml version="1.0" encoding="utf-8"?>
<formControlPr xmlns="http://schemas.microsoft.com/office/spreadsheetml/2009/9/main" objectType="Drop" dropLines="20" dropStyle="combo" dx="20" fmlaLink="$D$166" fmlaRange="LU_FLU_RECC_PRICES_GROUP_E" noThreeD="1" sel="1" val="0"/>
</file>

<file path=xl/ctrlProps/ctrlProp123.xml><?xml version="1.0" encoding="utf-8"?>
<formControlPr xmlns="http://schemas.microsoft.com/office/spreadsheetml/2009/9/main" objectType="Drop" dropLines="20" dropStyle="combo" dx="20" fmlaLink="DD_FLU_MICROB_PERS_TIME_2" fmlaRange="LU_FLU_Personnel_Unit_Cost_Categories" noThreeD="1" sel="2" val="0"/>
</file>

<file path=xl/ctrlProps/ctrlProp1230.xml><?xml version="1.0" encoding="utf-8"?>
<formControlPr xmlns="http://schemas.microsoft.com/office/spreadsheetml/2009/9/main" objectType="Drop" dropLines="20" dropStyle="combo" dx="20" fmlaLink="$D$167" fmlaRange="LU_FLU_RECC_PRICES_GROUP_E" noThreeD="1" sel="1" val="0"/>
</file>

<file path=xl/ctrlProps/ctrlProp1231.xml><?xml version="1.0" encoding="utf-8"?>
<formControlPr xmlns="http://schemas.microsoft.com/office/spreadsheetml/2009/9/main" objectType="Drop" dropLines="20" dropStyle="combo" dx="20" fmlaLink="$D$168" fmlaRange="LU_FLU_RECC_PRICES_GROUP_E" noThreeD="1" sel="1" val="0"/>
</file>

<file path=xl/ctrlProps/ctrlProp1232.xml><?xml version="1.0" encoding="utf-8"?>
<formControlPr xmlns="http://schemas.microsoft.com/office/spreadsheetml/2009/9/main" objectType="Drop" dropLines="20" dropStyle="combo" dx="20" fmlaLink="$D$169" fmlaRange="LU_FLU_RECC_PRICES_GROUP_E" noThreeD="1" sel="1" val="0"/>
</file>

<file path=xl/ctrlProps/ctrlProp1233.xml><?xml version="1.0" encoding="utf-8"?>
<formControlPr xmlns="http://schemas.microsoft.com/office/spreadsheetml/2009/9/main" objectType="Drop" dropLines="20" dropStyle="combo" dx="20" fmlaLink="$D$170" fmlaRange="LU_FLU_RECC_PRICES_GROUP_E" noThreeD="1" sel="1" val="0"/>
</file>

<file path=xl/ctrlProps/ctrlProp1234.xml><?xml version="1.0" encoding="utf-8"?>
<formControlPr xmlns="http://schemas.microsoft.com/office/spreadsheetml/2009/9/main" objectType="Drop" dropLines="20" dropStyle="combo" dx="20" fmlaLink="$I$99" fmlaRange="LU_FLU_Personnel_Unit_Cost_Categories" noThreeD="1" sel="1" val="0"/>
</file>

<file path=xl/ctrlProps/ctrlProp1235.xml><?xml version="1.0" encoding="utf-8"?>
<formControlPr xmlns="http://schemas.microsoft.com/office/spreadsheetml/2009/9/main" objectType="Drop" dropLines="20" dropStyle="combo" dx="20" fmlaLink="$I$100" fmlaRange="LU_FLU_Personnel_Unit_Cost_Categories" noThreeD="1" sel="1" val="0"/>
</file>

<file path=xl/ctrlProps/ctrlProp1236.xml><?xml version="1.0" encoding="utf-8"?>
<formControlPr xmlns="http://schemas.microsoft.com/office/spreadsheetml/2009/9/main" objectType="Drop" dropLines="20" dropStyle="combo" dx="20" fmlaLink="$I$101" fmlaRange="LU_FLU_Personnel_Unit_Cost_Categories" noThreeD="1" sel="1" val="0"/>
</file>

<file path=xl/ctrlProps/ctrlProp1237.xml><?xml version="1.0" encoding="utf-8"?>
<formControlPr xmlns="http://schemas.microsoft.com/office/spreadsheetml/2009/9/main" objectType="Drop" dropLines="20" dropStyle="combo" dx="20" fmlaLink="$I$102" fmlaRange="LU_FLU_Personnel_Unit_Cost_Categories" noThreeD="1" sel="1" val="0"/>
</file>

<file path=xl/ctrlProps/ctrlProp1238.xml><?xml version="1.0" encoding="utf-8"?>
<formControlPr xmlns="http://schemas.microsoft.com/office/spreadsheetml/2009/9/main" objectType="Drop" dropLines="20" dropStyle="combo" dx="20" fmlaLink="$I$103" fmlaRange="LU_FLU_Personnel_Unit_Cost_Categories" noThreeD="1" sel="1" val="0"/>
</file>

<file path=xl/ctrlProps/ctrlProp1239.xml><?xml version="1.0" encoding="utf-8"?>
<formControlPr xmlns="http://schemas.microsoft.com/office/spreadsheetml/2009/9/main" objectType="Drop" dropLines="20" dropStyle="combo" dx="20" fmlaLink="$I$104" fmlaRange="LU_FLU_Personnel_Unit_Cost_Categories" noThreeD="1" sel="1" val="0"/>
</file>

<file path=xl/ctrlProps/ctrlProp124.xml><?xml version="1.0" encoding="utf-8"?>
<formControlPr xmlns="http://schemas.microsoft.com/office/spreadsheetml/2009/9/main" objectType="Drop" dropLines="20" dropStyle="combo" dx="20" fmlaLink="DD_FLU_MICROB_PERS_TIME_3" fmlaRange="LU_FLU_Personnel_Unit_Cost_Categories" noThreeD="1" sel="2" val="0"/>
</file>

<file path=xl/ctrlProps/ctrlProp1240.xml><?xml version="1.0" encoding="utf-8"?>
<formControlPr xmlns="http://schemas.microsoft.com/office/spreadsheetml/2009/9/main" objectType="Drop" dropLines="20" dropStyle="combo" dx="20" fmlaLink="$I$105" fmlaRange="LU_FLU_Personnel_Unit_Cost_Categories" noThreeD="1" sel="1" val="0"/>
</file>

<file path=xl/ctrlProps/ctrlProp1241.xml><?xml version="1.0" encoding="utf-8"?>
<formControlPr xmlns="http://schemas.microsoft.com/office/spreadsheetml/2009/9/main" objectType="Drop" dropLines="20" dropStyle="combo" dx="20" fmlaLink="$I$106" fmlaRange="LU_FLU_Personnel_Unit_Cost_Categories" noThreeD="1" sel="1" val="0"/>
</file>

<file path=xl/ctrlProps/ctrlProp1242.xml><?xml version="1.0" encoding="utf-8"?>
<formControlPr xmlns="http://schemas.microsoft.com/office/spreadsheetml/2009/9/main" objectType="Drop" dropLines="20" dropStyle="combo" dx="20" fmlaLink="$I$107" fmlaRange="LU_FLU_Personnel_Unit_Cost_Categories" noThreeD="1" sel="1" val="0"/>
</file>

<file path=xl/ctrlProps/ctrlProp1243.xml><?xml version="1.0" encoding="utf-8"?>
<formControlPr xmlns="http://schemas.microsoft.com/office/spreadsheetml/2009/9/main" objectType="Drop" dropLines="20" dropStyle="combo" dx="20" fmlaLink="$I$108" fmlaRange="LU_FLU_Personnel_Unit_Cost_Categories" noThreeD="1" sel="1" val="0"/>
</file>

<file path=xl/ctrlProps/ctrlProp1244.xml><?xml version="1.0" encoding="utf-8"?>
<formControlPr xmlns="http://schemas.microsoft.com/office/spreadsheetml/2009/9/main" objectType="Drop" dropLines="20" dropStyle="combo" dx="20" fmlaLink="$I$109" fmlaRange="LU_FLU_Personnel_Unit_Cost_Categories" noThreeD="1" sel="1" val="0"/>
</file>

<file path=xl/ctrlProps/ctrlProp1245.xml><?xml version="1.0" encoding="utf-8"?>
<formControlPr xmlns="http://schemas.microsoft.com/office/spreadsheetml/2009/9/main" objectType="Drop" dropLines="20" dropStyle="combo" dx="20" fmlaLink="$I$110" fmlaRange="LU_FLU_Personnel_Unit_Cost_Categories" noThreeD="1" sel="1" val="0"/>
</file>

<file path=xl/ctrlProps/ctrlProp1246.xml><?xml version="1.0" encoding="utf-8"?>
<formControlPr xmlns="http://schemas.microsoft.com/office/spreadsheetml/2009/9/main" objectType="Drop" dropLines="20" dropStyle="combo" dx="20" fmlaLink="$I$111" fmlaRange="LU_FLU_Personnel_Unit_Cost_Categories" noThreeD="1" sel="1" val="0"/>
</file>

<file path=xl/ctrlProps/ctrlProp1247.xml><?xml version="1.0" encoding="utf-8"?>
<formControlPr xmlns="http://schemas.microsoft.com/office/spreadsheetml/2009/9/main" objectType="Drop" dropLines="20" dropStyle="combo" dx="20" fmlaLink="$I$112" fmlaRange="LU_FLU_Personnel_Unit_Cost_Categories" noThreeD="1" sel="1" val="0"/>
</file>

<file path=xl/ctrlProps/ctrlProp1248.xml><?xml version="1.0" encoding="utf-8"?>
<formControlPr xmlns="http://schemas.microsoft.com/office/spreadsheetml/2009/9/main" objectType="Drop" dropLines="20" dropStyle="combo" dx="20" fmlaLink="$I$113" fmlaRange="LU_FLU_Personnel_Unit_Cost_Categories" noThreeD="1" sel="1" val="0"/>
</file>

<file path=xl/ctrlProps/ctrlProp1249.xml><?xml version="1.0" encoding="utf-8"?>
<formControlPr xmlns="http://schemas.microsoft.com/office/spreadsheetml/2009/9/main" objectType="Drop" dropLines="20" dropStyle="combo" dx="16" fmlaLink="$D$182" fmlaRange="LU_FLU_RECC_PRICES_GROUP_A" noThreeD="1" sel="1" val="0"/>
</file>

<file path=xl/ctrlProps/ctrlProp125.xml><?xml version="1.0" encoding="utf-8"?>
<formControlPr xmlns="http://schemas.microsoft.com/office/spreadsheetml/2009/9/main" objectType="Drop" dropLines="20" dropStyle="combo" dx="20" fmlaLink="DD_FLU_MICROB_PERS_TIME_4" fmlaRange="LU_FLU_Personnel_Unit_Cost_Categories" noThreeD="1" sel="1" val="0"/>
</file>

<file path=xl/ctrlProps/ctrlProp1250.xml><?xml version="1.0" encoding="utf-8"?>
<formControlPr xmlns="http://schemas.microsoft.com/office/spreadsheetml/2009/9/main" objectType="Drop" dropLines="20" dropStyle="combo" dx="16" fmlaLink="$D$183" fmlaRange="LU_FLU_RECC_PRICES_GROUP_A" noThreeD="1" sel="1" val="0"/>
</file>

<file path=xl/ctrlProps/ctrlProp1251.xml><?xml version="1.0" encoding="utf-8"?>
<formControlPr xmlns="http://schemas.microsoft.com/office/spreadsheetml/2009/9/main" objectType="Drop" dropLines="20" dropStyle="combo" dx="16" fmlaLink="$D$184" fmlaRange="LU_FLU_RECC_PRICES_GROUP_A" noThreeD="1" sel="1" val="0"/>
</file>

<file path=xl/ctrlProps/ctrlProp1252.xml><?xml version="1.0" encoding="utf-8"?>
<formControlPr xmlns="http://schemas.microsoft.com/office/spreadsheetml/2009/9/main" objectType="Drop" dropLines="20" dropStyle="combo" dx="16" fmlaLink="$D$185" fmlaRange="LU_FLU_RECC_PRICES_GROUP_A" noThreeD="1" sel="1" val="0"/>
</file>

<file path=xl/ctrlProps/ctrlProp1253.xml><?xml version="1.0" encoding="utf-8"?>
<formControlPr xmlns="http://schemas.microsoft.com/office/spreadsheetml/2009/9/main" objectType="Drop" dropLines="20" dropStyle="combo" dx="16" fmlaLink="$D$186" fmlaRange="LU_FLU_RECC_PRICES_GROUP_A" noThreeD="1" sel="1" val="0"/>
</file>

<file path=xl/ctrlProps/ctrlProp1254.xml><?xml version="1.0" encoding="utf-8"?>
<formControlPr xmlns="http://schemas.microsoft.com/office/spreadsheetml/2009/9/main" objectType="Drop" dropLines="20" dropStyle="combo" dx="16" fmlaLink="$D$187" fmlaRange="LU_FLU_RECC_PRICES_GROUP_A" noThreeD="1" sel="1" val="0"/>
</file>

<file path=xl/ctrlProps/ctrlProp1255.xml><?xml version="1.0" encoding="utf-8"?>
<formControlPr xmlns="http://schemas.microsoft.com/office/spreadsheetml/2009/9/main" objectType="Drop" dropLines="20" dropStyle="combo" dx="16" fmlaLink="$D$188" fmlaRange="LU_FLU_RECC_PRICES_GROUP_A" noThreeD="1" sel="1" val="0"/>
</file>

<file path=xl/ctrlProps/ctrlProp1256.xml><?xml version="1.0" encoding="utf-8"?>
<formControlPr xmlns="http://schemas.microsoft.com/office/spreadsheetml/2009/9/main" objectType="Drop" dropLines="20" dropStyle="combo" dx="16" fmlaLink="$D$189" fmlaRange="LU_FLU_RECC_PRICES_GROUP_A" noThreeD="1" sel="1" val="0"/>
</file>

<file path=xl/ctrlProps/ctrlProp1257.xml><?xml version="1.0" encoding="utf-8"?>
<formControlPr xmlns="http://schemas.microsoft.com/office/spreadsheetml/2009/9/main" objectType="Drop" dropLines="20" dropStyle="combo" dx="16" fmlaLink="$D$190" fmlaRange="LU_FLU_RECC_PRICES_GROUP_A" noThreeD="1" sel="1" val="0"/>
</file>

<file path=xl/ctrlProps/ctrlProp1258.xml><?xml version="1.0" encoding="utf-8"?>
<formControlPr xmlns="http://schemas.microsoft.com/office/spreadsheetml/2009/9/main" objectType="Drop" dropLines="20" dropStyle="combo" dx="16" fmlaLink="$D$191" fmlaRange="LU_FLU_RECC_PRICES_GROUP_A" noThreeD="1" sel="1" val="0"/>
</file>

<file path=xl/ctrlProps/ctrlProp1259.xml><?xml version="1.0" encoding="utf-8"?>
<formControlPr xmlns="http://schemas.microsoft.com/office/spreadsheetml/2009/9/main" objectType="Drop" dropLines="20" dropStyle="combo" dx="16" fmlaLink="$D$192" fmlaRange="LU_FLU_RECC_PRICES_GROUP_A" noThreeD="1" sel="1" val="0"/>
</file>

<file path=xl/ctrlProps/ctrlProp126.xml><?xml version="1.0" encoding="utf-8"?>
<formControlPr xmlns="http://schemas.microsoft.com/office/spreadsheetml/2009/9/main" objectType="Drop" dropLines="20" dropStyle="combo" dx="20" fmlaLink="DD_FLU_MICROB_PERS_TIME_5" fmlaRange="LU_FLU_Personnel_Unit_Cost_Categories" noThreeD="1" sel="1" val="0"/>
</file>

<file path=xl/ctrlProps/ctrlProp1260.xml><?xml version="1.0" encoding="utf-8"?>
<formControlPr xmlns="http://schemas.microsoft.com/office/spreadsheetml/2009/9/main" objectType="Drop" dropLines="20" dropStyle="combo" dx="16" fmlaLink="$D$193" fmlaRange="LU_FLU_RECC_PRICES_GROUP_A" noThreeD="1" sel="1" val="0"/>
</file>

<file path=xl/ctrlProps/ctrlProp1261.xml><?xml version="1.0" encoding="utf-8"?>
<formControlPr xmlns="http://schemas.microsoft.com/office/spreadsheetml/2009/9/main" objectType="Drop" dropLines="20" dropStyle="combo" dx="16" fmlaLink="$D$194" fmlaRange="LU_FLU_RECC_PRICES_GROUP_A" noThreeD="1" sel="1" val="0"/>
</file>

<file path=xl/ctrlProps/ctrlProp1262.xml><?xml version="1.0" encoding="utf-8"?>
<formControlPr xmlns="http://schemas.microsoft.com/office/spreadsheetml/2009/9/main" objectType="Drop" dropLines="20" dropStyle="combo" dx="16" fmlaLink="$D$195" fmlaRange="LU_FLU_RECC_PRICES_GROUP_A" noThreeD="1" sel="1" val="0"/>
</file>

<file path=xl/ctrlProps/ctrlProp1263.xml><?xml version="1.0" encoding="utf-8"?>
<formControlPr xmlns="http://schemas.microsoft.com/office/spreadsheetml/2009/9/main" objectType="Drop" dropLines="20" dropStyle="combo" dx="16" fmlaLink="$D$196" fmlaRange="LU_FLU_RECC_PRICES_GROUP_A" noThreeD="1" sel="1" val="0"/>
</file>

<file path=xl/ctrlProps/ctrlProp1264.xml><?xml version="1.0" encoding="utf-8"?>
<formControlPr xmlns="http://schemas.microsoft.com/office/spreadsheetml/2009/9/main" objectType="Drop" dropLines="20" dropStyle="combo" dx="16" fmlaLink="$I$182" fmlaRange="LU_FLU_Personnel_Unit_Cost_Categories" noThreeD="1" sel="1" val="0"/>
</file>

<file path=xl/ctrlProps/ctrlProp1265.xml><?xml version="1.0" encoding="utf-8"?>
<formControlPr xmlns="http://schemas.microsoft.com/office/spreadsheetml/2009/9/main" objectType="Drop" dropLines="20" dropStyle="combo" dx="16" fmlaLink="$I$183" fmlaRange="LU_FLU_Personnel_Unit_Cost_Categories" noThreeD="1" sel="1" val="0"/>
</file>

<file path=xl/ctrlProps/ctrlProp1266.xml><?xml version="1.0" encoding="utf-8"?>
<formControlPr xmlns="http://schemas.microsoft.com/office/spreadsheetml/2009/9/main" objectType="Drop" dropLines="20" dropStyle="combo" dx="16" fmlaLink="$I$184" fmlaRange="LU_FLU_Personnel_Unit_Cost_Categories" noThreeD="1" sel="1" val="0"/>
</file>

<file path=xl/ctrlProps/ctrlProp1267.xml><?xml version="1.0" encoding="utf-8"?>
<formControlPr xmlns="http://schemas.microsoft.com/office/spreadsheetml/2009/9/main" objectType="Drop" dropLines="20" dropStyle="combo" dx="16" fmlaLink="$I$185" fmlaRange="LU_FLU_Personnel_Unit_Cost_Categories" noThreeD="1" sel="1" val="0"/>
</file>

<file path=xl/ctrlProps/ctrlProp1268.xml><?xml version="1.0" encoding="utf-8"?>
<formControlPr xmlns="http://schemas.microsoft.com/office/spreadsheetml/2009/9/main" objectType="Drop" dropLines="20" dropStyle="combo" dx="16" fmlaLink="$I$186" fmlaRange="LU_FLU_Personnel_Unit_Cost_Categories" noThreeD="1" sel="1" val="0"/>
</file>

<file path=xl/ctrlProps/ctrlProp1269.xml><?xml version="1.0" encoding="utf-8"?>
<formControlPr xmlns="http://schemas.microsoft.com/office/spreadsheetml/2009/9/main" objectType="Drop" dropLines="20" dropStyle="combo" dx="16" fmlaLink="$I$187" fmlaRange="LU_FLU_Personnel_Unit_Cost_Categories" noThreeD="1" sel="1" val="0"/>
</file>

<file path=xl/ctrlProps/ctrlProp127.xml><?xml version="1.0" encoding="utf-8"?>
<formControlPr xmlns="http://schemas.microsoft.com/office/spreadsheetml/2009/9/main" objectType="Drop" dropLines="20" dropStyle="combo" dx="20" fmlaLink="DD_FLU_MICROB_PERS_TIME_6" fmlaRange="LU_FLU_Personnel_Unit_Cost_Categories" noThreeD="1" sel="1" val="0"/>
</file>

<file path=xl/ctrlProps/ctrlProp1270.xml><?xml version="1.0" encoding="utf-8"?>
<formControlPr xmlns="http://schemas.microsoft.com/office/spreadsheetml/2009/9/main" objectType="Drop" dropLines="20" dropStyle="combo" dx="16" fmlaLink="$I$188" fmlaRange="LU_FLU_Personnel_Unit_Cost_Categories" noThreeD="1" sel="1" val="0"/>
</file>

<file path=xl/ctrlProps/ctrlProp1271.xml><?xml version="1.0" encoding="utf-8"?>
<formControlPr xmlns="http://schemas.microsoft.com/office/spreadsheetml/2009/9/main" objectType="Drop" dropLines="20" dropStyle="combo" dx="16" fmlaLink="$I$189" fmlaRange="LU_FLU_Personnel_Unit_Cost_Categories" noThreeD="1" sel="1" val="0"/>
</file>

<file path=xl/ctrlProps/ctrlProp1272.xml><?xml version="1.0" encoding="utf-8"?>
<formControlPr xmlns="http://schemas.microsoft.com/office/spreadsheetml/2009/9/main" objectType="Drop" dropLines="20" dropStyle="combo" dx="16" fmlaLink="$I$190" fmlaRange="LU_FLU_Personnel_Unit_Cost_Categories" noThreeD="1" sel="1" val="0"/>
</file>

<file path=xl/ctrlProps/ctrlProp1273.xml><?xml version="1.0" encoding="utf-8"?>
<formControlPr xmlns="http://schemas.microsoft.com/office/spreadsheetml/2009/9/main" objectType="Drop" dropLines="20" dropStyle="combo" dx="16" fmlaLink="$I$191" fmlaRange="LU_FLU_Personnel_Unit_Cost_Categories" noThreeD="1" sel="1" val="0"/>
</file>

<file path=xl/ctrlProps/ctrlProp1274.xml><?xml version="1.0" encoding="utf-8"?>
<formControlPr xmlns="http://schemas.microsoft.com/office/spreadsheetml/2009/9/main" objectType="Drop" dropLines="20" dropStyle="combo" dx="16" fmlaLink="$I$192" fmlaRange="LU_FLU_Personnel_Unit_Cost_Categories" noThreeD="1" sel="1" val="0"/>
</file>

<file path=xl/ctrlProps/ctrlProp1275.xml><?xml version="1.0" encoding="utf-8"?>
<formControlPr xmlns="http://schemas.microsoft.com/office/spreadsheetml/2009/9/main" objectType="Drop" dropLines="20" dropStyle="combo" dx="16" fmlaLink="$I$193" fmlaRange="LU_FLU_Personnel_Unit_Cost_Categories" noThreeD="1" sel="1" val="0"/>
</file>

<file path=xl/ctrlProps/ctrlProp1276.xml><?xml version="1.0" encoding="utf-8"?>
<formControlPr xmlns="http://schemas.microsoft.com/office/spreadsheetml/2009/9/main" objectType="Drop" dropLines="20" dropStyle="combo" dx="16" fmlaLink="$I$194" fmlaRange="LU_FLU_Personnel_Unit_Cost_Categories" noThreeD="1" sel="1" val="0"/>
</file>

<file path=xl/ctrlProps/ctrlProp1277.xml><?xml version="1.0" encoding="utf-8"?>
<formControlPr xmlns="http://schemas.microsoft.com/office/spreadsheetml/2009/9/main" objectType="Drop" dropLines="20" dropStyle="combo" dx="16" fmlaLink="$I$195" fmlaRange="LU_FLU_Personnel_Unit_Cost_Categories" noThreeD="1" sel="1" val="0"/>
</file>

<file path=xl/ctrlProps/ctrlProp1278.xml><?xml version="1.0" encoding="utf-8"?>
<formControlPr xmlns="http://schemas.microsoft.com/office/spreadsheetml/2009/9/main" objectType="Drop" dropLines="20" dropStyle="combo" dx="16" fmlaLink="$I$196" fmlaRange="LU_FLU_Personnel_Unit_Cost_Categories" noThreeD="1" sel="1" val="0"/>
</file>

<file path=xl/ctrlProps/ctrlProp1279.xml><?xml version="1.0" encoding="utf-8"?>
<formControlPr xmlns="http://schemas.microsoft.com/office/spreadsheetml/2009/9/main" objectType="Drop" dropLines="20" dropStyle="combo" dx="16" fmlaLink="$D$201" fmlaRange="LU_FLU_RECC_PRICES_GROUP_C" noThreeD="1" sel="2" val="0"/>
</file>

<file path=xl/ctrlProps/ctrlProp128.xml><?xml version="1.0" encoding="utf-8"?>
<formControlPr xmlns="http://schemas.microsoft.com/office/spreadsheetml/2009/9/main" objectType="Drop" dropLines="20" dropStyle="combo" dx="20" fmlaLink="DD_FLU_MICROB_PERS_TIME_7" fmlaRange="LU_FLU_Personnel_Unit_Cost_Categories" noThreeD="1" sel="1" val="0"/>
</file>

<file path=xl/ctrlProps/ctrlProp1280.xml><?xml version="1.0" encoding="utf-8"?>
<formControlPr xmlns="http://schemas.microsoft.com/office/spreadsheetml/2009/9/main" objectType="Drop" dropLines="20" dropStyle="combo" dx="16" fmlaLink="$D$202" fmlaRange="LU_FLU_RECC_PRICES_GROUP_C" noThreeD="1" sel="1" val="0"/>
</file>

<file path=xl/ctrlProps/ctrlProp1281.xml><?xml version="1.0" encoding="utf-8"?>
<formControlPr xmlns="http://schemas.microsoft.com/office/spreadsheetml/2009/9/main" objectType="Drop" dropLines="20" dropStyle="combo" dx="16" fmlaLink="$D$203" fmlaRange="LU_FLU_RECC_PRICES_GROUP_C" noThreeD="1" sel="1" val="0"/>
</file>

<file path=xl/ctrlProps/ctrlProp1282.xml><?xml version="1.0" encoding="utf-8"?>
<formControlPr xmlns="http://schemas.microsoft.com/office/spreadsheetml/2009/9/main" objectType="Drop" dropLines="20" dropStyle="combo" dx="16" fmlaLink="$D$204" fmlaRange="LU_FLU_RECC_PRICES_GROUP_C" noThreeD="1" sel="1" val="0"/>
</file>

<file path=xl/ctrlProps/ctrlProp1283.xml><?xml version="1.0" encoding="utf-8"?>
<formControlPr xmlns="http://schemas.microsoft.com/office/spreadsheetml/2009/9/main" objectType="Drop" dropLines="20" dropStyle="combo" dx="16" fmlaLink="$D$205" fmlaRange="LU_FLU_RECC_PRICES_GROUP_C" noThreeD="1" sel="1" val="0"/>
</file>

<file path=xl/ctrlProps/ctrlProp1284.xml><?xml version="1.0" encoding="utf-8"?>
<formControlPr xmlns="http://schemas.microsoft.com/office/spreadsheetml/2009/9/main" objectType="Drop" dropLines="20" dropStyle="combo" dx="16" fmlaLink="$D$206" fmlaRange="LU_FLU_RECC_PRICES_GROUP_C" noThreeD="1" sel="1" val="0"/>
</file>

<file path=xl/ctrlProps/ctrlProp1285.xml><?xml version="1.0" encoding="utf-8"?>
<formControlPr xmlns="http://schemas.microsoft.com/office/spreadsheetml/2009/9/main" objectType="Drop" dropLines="20" dropStyle="combo" dx="16" fmlaLink="$D$207" fmlaRange="LU_FLU_RECC_PRICES_GROUP_C" noThreeD="1" sel="1" val="0"/>
</file>

<file path=xl/ctrlProps/ctrlProp1286.xml><?xml version="1.0" encoding="utf-8"?>
<formControlPr xmlns="http://schemas.microsoft.com/office/spreadsheetml/2009/9/main" objectType="Drop" dropLines="20" dropStyle="combo" dx="16" fmlaLink="$D$208" fmlaRange="LU_FLU_RECC_PRICES_GROUP_C" noThreeD="1" sel="1" val="0"/>
</file>

<file path=xl/ctrlProps/ctrlProp1287.xml><?xml version="1.0" encoding="utf-8"?>
<formControlPr xmlns="http://schemas.microsoft.com/office/spreadsheetml/2009/9/main" objectType="Drop" dropLines="20" dropStyle="combo" dx="16" fmlaLink="$D$209" fmlaRange="LU_FLU_RECC_PRICES_GROUP_C" noThreeD="1" sel="1" val="0"/>
</file>

<file path=xl/ctrlProps/ctrlProp1288.xml><?xml version="1.0" encoding="utf-8"?>
<formControlPr xmlns="http://schemas.microsoft.com/office/spreadsheetml/2009/9/main" objectType="Drop" dropLines="20" dropStyle="combo" dx="16" fmlaLink="$D$210" fmlaRange="LU_FLU_RECC_PRICES_GROUP_C" noThreeD="1" sel="1" val="0"/>
</file>

<file path=xl/ctrlProps/ctrlProp1289.xml><?xml version="1.0" encoding="utf-8"?>
<formControlPr xmlns="http://schemas.microsoft.com/office/spreadsheetml/2009/9/main" objectType="Drop" dropLines="20" dropStyle="combo" dx="16" fmlaLink="$D$211" fmlaRange="LU_FLU_RECC_PRICES_GROUP_C" noThreeD="1" sel="1" val="0"/>
</file>

<file path=xl/ctrlProps/ctrlProp129.xml><?xml version="1.0" encoding="utf-8"?>
<formControlPr xmlns="http://schemas.microsoft.com/office/spreadsheetml/2009/9/main" objectType="Drop" dropLines="20" dropStyle="combo" dx="20" fmlaLink="DD_FLU_MICROB_PERS_TIME_8" fmlaRange="LU_FLU_Personnel_Unit_Cost_Categories" noThreeD="1" sel="1" val="0"/>
</file>

<file path=xl/ctrlProps/ctrlProp1290.xml><?xml version="1.0" encoding="utf-8"?>
<formControlPr xmlns="http://schemas.microsoft.com/office/spreadsheetml/2009/9/main" objectType="Drop" dropLines="20" dropStyle="combo" dx="16" fmlaLink="$D$212" fmlaRange="LU_FLU_RECC_PRICES_GROUP_C" noThreeD="1" sel="1" val="0"/>
</file>

<file path=xl/ctrlProps/ctrlProp1291.xml><?xml version="1.0" encoding="utf-8"?>
<formControlPr xmlns="http://schemas.microsoft.com/office/spreadsheetml/2009/9/main" objectType="Drop" dropLines="20" dropStyle="combo" dx="16" fmlaLink="$D$213" fmlaRange="LU_FLU_RECC_PRICES_GROUP_C" noThreeD="1" sel="1" val="0"/>
</file>

<file path=xl/ctrlProps/ctrlProp1292.xml><?xml version="1.0" encoding="utf-8"?>
<formControlPr xmlns="http://schemas.microsoft.com/office/spreadsheetml/2009/9/main" objectType="Drop" dropLines="20" dropStyle="combo" dx="16" fmlaLink="$D$214" fmlaRange="LU_FLU_RECC_PRICES_GROUP_C" noThreeD="1" sel="1" val="0"/>
</file>

<file path=xl/ctrlProps/ctrlProp1293.xml><?xml version="1.0" encoding="utf-8"?>
<formControlPr xmlns="http://schemas.microsoft.com/office/spreadsheetml/2009/9/main" objectType="Drop" dropLines="20" dropStyle="combo" dx="16" fmlaLink="$D$215" fmlaRange="LU_FLU_RECC_PRICES_GROUP_C" noThreeD="1" sel="1" val="0"/>
</file>

<file path=xl/ctrlProps/ctrlProp1294.xml><?xml version="1.0" encoding="utf-8"?>
<formControlPr xmlns="http://schemas.microsoft.com/office/spreadsheetml/2009/9/main" objectType="Drop" dropLines="20" dropStyle="combo" dx="16" fmlaLink="$D$220" fmlaRange="LU_FLU_RECC_PRICES_GROUP_D" noThreeD="1" sel="5" val="0"/>
</file>

<file path=xl/ctrlProps/ctrlProp1295.xml><?xml version="1.0" encoding="utf-8"?>
<formControlPr xmlns="http://schemas.microsoft.com/office/spreadsheetml/2009/9/main" objectType="Drop" dropLines="20" dropStyle="combo" dx="16" fmlaLink="$D$221" fmlaRange="LU_FLU_RECC_PRICES_GROUP_D" noThreeD="1" sel="1" val="0"/>
</file>

<file path=xl/ctrlProps/ctrlProp1296.xml><?xml version="1.0" encoding="utf-8"?>
<formControlPr xmlns="http://schemas.microsoft.com/office/spreadsheetml/2009/9/main" objectType="Drop" dropLines="20" dropStyle="combo" dx="16" fmlaLink="$D$222" fmlaRange="LU_FLU_RECC_PRICES_GROUP_D" noThreeD="1" sel="1" val="0"/>
</file>

<file path=xl/ctrlProps/ctrlProp1297.xml><?xml version="1.0" encoding="utf-8"?>
<formControlPr xmlns="http://schemas.microsoft.com/office/spreadsheetml/2009/9/main" objectType="Drop" dropLines="20" dropStyle="combo" dx="16" fmlaLink="$D$223" fmlaRange="LU_FLU_RECC_PRICES_GROUP_D" noThreeD="1" sel="1" val="0"/>
</file>

<file path=xl/ctrlProps/ctrlProp1298.xml><?xml version="1.0" encoding="utf-8"?>
<formControlPr xmlns="http://schemas.microsoft.com/office/spreadsheetml/2009/9/main" objectType="Drop" dropLines="20" dropStyle="combo" dx="16" fmlaLink="$D$224" fmlaRange="LU_FLU_RECC_PRICES_GROUP_D" noThreeD="1" sel="1" val="0"/>
</file>

<file path=xl/ctrlProps/ctrlProp1299.xml><?xml version="1.0" encoding="utf-8"?>
<formControlPr xmlns="http://schemas.microsoft.com/office/spreadsheetml/2009/9/main" objectType="Drop" dropLines="20" dropStyle="combo" dx="16" fmlaLink="$D$225" fmlaRange="LU_FLU_RECC_PRICES_GROUP_D" noThreeD="1" sel="1" val="0"/>
</file>

<file path=xl/ctrlProps/ctrlProp13.xml><?xml version="1.0" encoding="utf-8"?>
<formControlPr xmlns="http://schemas.microsoft.com/office/spreadsheetml/2009/9/main" objectType="Drop" dropLines="20" dropStyle="combo" dx="16" fmlaLink="$G$54" fmlaRange="LU_FLU_Curr_Code" noThreeD="1" sel="2" val="0"/>
</file>

<file path=xl/ctrlProps/ctrlProp130.xml><?xml version="1.0" encoding="utf-8"?>
<formControlPr xmlns="http://schemas.microsoft.com/office/spreadsheetml/2009/9/main" objectType="Drop" dropLines="20" dropStyle="combo" dx="20" fmlaLink="DD_FLU_MICROB_PERS_TIME_9" fmlaRange="LU_FLU_Personnel_Unit_Cost_Categories" noThreeD="1" sel="1" val="0"/>
</file>

<file path=xl/ctrlProps/ctrlProp1300.xml><?xml version="1.0" encoding="utf-8"?>
<formControlPr xmlns="http://schemas.microsoft.com/office/spreadsheetml/2009/9/main" objectType="Drop" dropLines="20" dropStyle="combo" dx="16" fmlaLink="$D$226" fmlaRange="LU_FLU_RECC_PRICES_GROUP_D" noThreeD="1" sel="1" val="0"/>
</file>

<file path=xl/ctrlProps/ctrlProp1301.xml><?xml version="1.0" encoding="utf-8"?>
<formControlPr xmlns="http://schemas.microsoft.com/office/spreadsheetml/2009/9/main" objectType="Drop" dropLines="20" dropStyle="combo" dx="16" fmlaLink="$D$227" fmlaRange="LU_FLU_RECC_PRICES_GROUP_D" noThreeD="1" sel="1" val="0"/>
</file>

<file path=xl/ctrlProps/ctrlProp1302.xml><?xml version="1.0" encoding="utf-8"?>
<formControlPr xmlns="http://schemas.microsoft.com/office/spreadsheetml/2009/9/main" objectType="Drop" dropLines="20" dropStyle="combo" dx="16" fmlaLink="$D$228" fmlaRange="LU_FLU_RECC_PRICES_GROUP_D" noThreeD="1" sel="1" val="0"/>
</file>

<file path=xl/ctrlProps/ctrlProp1303.xml><?xml version="1.0" encoding="utf-8"?>
<formControlPr xmlns="http://schemas.microsoft.com/office/spreadsheetml/2009/9/main" objectType="Drop" dropLines="20" dropStyle="combo" dx="16" fmlaLink="$D$229" fmlaRange="LU_FLU_RECC_PRICES_GROUP_D" noThreeD="1" sel="1" val="0"/>
</file>

<file path=xl/ctrlProps/ctrlProp1304.xml><?xml version="1.0" encoding="utf-8"?>
<formControlPr xmlns="http://schemas.microsoft.com/office/spreadsheetml/2009/9/main" objectType="Drop" dropLines="20" dropStyle="combo" dx="16" fmlaLink="$D$230" fmlaRange="LU_FLU_RECC_PRICES_GROUP_D" noThreeD="1" sel="1" val="0"/>
</file>

<file path=xl/ctrlProps/ctrlProp1305.xml><?xml version="1.0" encoding="utf-8"?>
<formControlPr xmlns="http://schemas.microsoft.com/office/spreadsheetml/2009/9/main" objectType="Drop" dropLines="20" dropStyle="combo" dx="16" fmlaLink="$D$231" fmlaRange="LU_FLU_RECC_PRICES_GROUP_D" noThreeD="1" sel="1" val="0"/>
</file>

<file path=xl/ctrlProps/ctrlProp1306.xml><?xml version="1.0" encoding="utf-8"?>
<formControlPr xmlns="http://schemas.microsoft.com/office/spreadsheetml/2009/9/main" objectType="Drop" dropLines="20" dropStyle="combo" dx="16" fmlaLink="$D$232" fmlaRange="LU_FLU_RECC_PRICES_GROUP_D" noThreeD="1" sel="1" val="0"/>
</file>

<file path=xl/ctrlProps/ctrlProp1307.xml><?xml version="1.0" encoding="utf-8"?>
<formControlPr xmlns="http://schemas.microsoft.com/office/spreadsheetml/2009/9/main" objectType="Drop" dropLines="20" dropStyle="combo" dx="16" fmlaLink="$D$233" fmlaRange="LU_FLU_RECC_PRICES_GROUP_D" noThreeD="1" sel="1" val="0"/>
</file>

<file path=xl/ctrlProps/ctrlProp1308.xml><?xml version="1.0" encoding="utf-8"?>
<formControlPr xmlns="http://schemas.microsoft.com/office/spreadsheetml/2009/9/main" objectType="Drop" dropLines="20" dropStyle="combo" dx="16" fmlaLink="$D$234" fmlaRange="LU_FLU_RECC_PRICES_GROUP_D" noThreeD="1" sel="1" val="0"/>
</file>

<file path=xl/ctrlProps/ctrlProp1309.xml><?xml version="1.0" encoding="utf-8"?>
<formControlPr xmlns="http://schemas.microsoft.com/office/spreadsheetml/2009/9/main" objectType="Drop" dropLines="20" dropStyle="combo" dx="16" fmlaLink="$D$239" fmlaRange="LU_FLU_RECC_PRICES_GROUP_E" noThreeD="1" sel="2" val="0"/>
</file>

<file path=xl/ctrlProps/ctrlProp131.xml><?xml version="1.0" encoding="utf-8"?>
<formControlPr xmlns="http://schemas.microsoft.com/office/spreadsheetml/2009/9/main" objectType="Drop" dropLines="20" dropStyle="combo" dx="20" fmlaLink="DD_FLU_MICROB_PERS_TIME_10" fmlaRange="LU_FLU_Personnel_Unit_Cost_Categories" noThreeD="1" sel="1" val="0"/>
</file>

<file path=xl/ctrlProps/ctrlProp1310.xml><?xml version="1.0" encoding="utf-8"?>
<formControlPr xmlns="http://schemas.microsoft.com/office/spreadsheetml/2009/9/main" objectType="Drop" dropLines="20" dropStyle="combo" dx="16" fmlaLink="$D$240" fmlaRange="LU_FLU_RECC_PRICES_GROUP_E" noThreeD="1" sel="1" val="0"/>
</file>

<file path=xl/ctrlProps/ctrlProp1311.xml><?xml version="1.0" encoding="utf-8"?>
<formControlPr xmlns="http://schemas.microsoft.com/office/spreadsheetml/2009/9/main" objectType="Drop" dropLines="20" dropStyle="combo" dx="16" fmlaLink="$D$241" fmlaRange="LU_FLU_RECC_PRICES_GROUP_E" noThreeD="1" sel="1" val="0"/>
</file>

<file path=xl/ctrlProps/ctrlProp1312.xml><?xml version="1.0" encoding="utf-8"?>
<formControlPr xmlns="http://schemas.microsoft.com/office/spreadsheetml/2009/9/main" objectType="Drop" dropLines="20" dropStyle="combo" dx="16" fmlaLink="$D$242" fmlaRange="LU_FLU_RECC_PRICES_GROUP_E" noThreeD="1" sel="1" val="0"/>
</file>

<file path=xl/ctrlProps/ctrlProp1313.xml><?xml version="1.0" encoding="utf-8"?>
<formControlPr xmlns="http://schemas.microsoft.com/office/spreadsheetml/2009/9/main" objectType="Drop" dropLines="20" dropStyle="combo" dx="16" fmlaLink="$D$243" fmlaRange="LU_FLU_RECC_PRICES_GROUP_E" noThreeD="1" sel="1" val="0"/>
</file>

<file path=xl/ctrlProps/ctrlProp1314.xml><?xml version="1.0" encoding="utf-8"?>
<formControlPr xmlns="http://schemas.microsoft.com/office/spreadsheetml/2009/9/main" objectType="Drop" dropLines="20" dropStyle="combo" dx="16" fmlaLink="$D$244" fmlaRange="LU_FLU_RECC_PRICES_GROUP_E" noThreeD="1" sel="1" val="0"/>
</file>

<file path=xl/ctrlProps/ctrlProp1315.xml><?xml version="1.0" encoding="utf-8"?>
<formControlPr xmlns="http://schemas.microsoft.com/office/spreadsheetml/2009/9/main" objectType="Drop" dropLines="20" dropStyle="combo" dx="16" fmlaLink="$D$245" fmlaRange="LU_FLU_RECC_PRICES_GROUP_E" noThreeD="1" sel="1" val="0"/>
</file>

<file path=xl/ctrlProps/ctrlProp1316.xml><?xml version="1.0" encoding="utf-8"?>
<formControlPr xmlns="http://schemas.microsoft.com/office/spreadsheetml/2009/9/main" objectType="Drop" dropLines="20" dropStyle="combo" dx="16" fmlaLink="$D$246" fmlaRange="LU_FLU_RECC_PRICES_GROUP_E" noThreeD="1" sel="1" val="0"/>
</file>

<file path=xl/ctrlProps/ctrlProp1317.xml><?xml version="1.0" encoding="utf-8"?>
<formControlPr xmlns="http://schemas.microsoft.com/office/spreadsheetml/2009/9/main" objectType="Drop" dropLines="20" dropStyle="combo" dx="16" fmlaLink="$D$247" fmlaRange="LU_FLU_RECC_PRICES_GROUP_E" noThreeD="1" sel="1" val="0"/>
</file>

<file path=xl/ctrlProps/ctrlProp1318.xml><?xml version="1.0" encoding="utf-8"?>
<formControlPr xmlns="http://schemas.microsoft.com/office/spreadsheetml/2009/9/main" objectType="Drop" dropLines="20" dropStyle="combo" dx="16" fmlaLink="$D$248" fmlaRange="LU_FLU_RECC_PRICES_GROUP_E" noThreeD="1" sel="1" val="0"/>
</file>

<file path=xl/ctrlProps/ctrlProp1319.xml><?xml version="1.0" encoding="utf-8"?>
<formControlPr xmlns="http://schemas.microsoft.com/office/spreadsheetml/2009/9/main" objectType="Drop" dropLines="20" dropStyle="combo" dx="16" fmlaLink="$D$249" fmlaRange="LU_FLU_RECC_PRICES_GROUP_E" noThreeD="1" sel="1" val="0"/>
</file>

<file path=xl/ctrlProps/ctrlProp132.xml><?xml version="1.0" encoding="utf-8"?>
<formControlPr xmlns="http://schemas.microsoft.com/office/spreadsheetml/2009/9/main" objectType="Drop" dropLines="20" dropStyle="combo" dx="20" fmlaLink="DD_FLU_MICROB_PERS_TIME_11" fmlaRange="LU_FLU_Personnel_Unit_Cost_Categories" noThreeD="1" sel="1" val="0"/>
</file>

<file path=xl/ctrlProps/ctrlProp1320.xml><?xml version="1.0" encoding="utf-8"?>
<formControlPr xmlns="http://schemas.microsoft.com/office/spreadsheetml/2009/9/main" objectType="Drop" dropLines="20" dropStyle="combo" dx="16" fmlaLink="$D$250" fmlaRange="LU_FLU_RECC_PRICES_GROUP_E" noThreeD="1" sel="1" val="0"/>
</file>

<file path=xl/ctrlProps/ctrlProp1321.xml><?xml version="1.0" encoding="utf-8"?>
<formControlPr xmlns="http://schemas.microsoft.com/office/spreadsheetml/2009/9/main" objectType="Drop" dropLines="20" dropStyle="combo" dx="16" fmlaLink="$D$251" fmlaRange="LU_FLU_RECC_PRICES_GROUP_E" noThreeD="1" sel="1" val="0"/>
</file>

<file path=xl/ctrlProps/ctrlProp1322.xml><?xml version="1.0" encoding="utf-8"?>
<formControlPr xmlns="http://schemas.microsoft.com/office/spreadsheetml/2009/9/main" objectType="Drop" dropLines="20" dropStyle="combo" dx="16" fmlaLink="$D$252" fmlaRange="LU_FLU_RECC_PRICES_GROUP_E" noThreeD="1" sel="1" val="0"/>
</file>

<file path=xl/ctrlProps/ctrlProp1323.xml><?xml version="1.0" encoding="utf-8"?>
<formControlPr xmlns="http://schemas.microsoft.com/office/spreadsheetml/2009/9/main" objectType="Drop" dropLines="20" dropStyle="combo" dx="16" fmlaLink="$D$253" fmlaRange="LU_FLU_RECC_PRICES_GROUP_E" noThreeD="1" sel="1" val="0"/>
</file>

<file path=xl/ctrlProps/ctrlProp1324.xml><?xml version="1.0" encoding="utf-8"?>
<formControlPr xmlns="http://schemas.microsoft.com/office/spreadsheetml/2009/9/main" objectType="Drop" dropLines="20" dropStyle="combo" dx="16" fmlaLink="DD_FLU_ODC_A_GroupC_1" fmlaRange="LU_FLU_RECC_PRICES_GROUP_C" noThreeD="1" sel="2" val="0"/>
</file>

<file path=xl/ctrlProps/ctrlProp1325.xml><?xml version="1.0" encoding="utf-8"?>
<formControlPr xmlns="http://schemas.microsoft.com/office/spreadsheetml/2009/9/main" objectType="Drop" dropLines="20" dropStyle="combo" dx="16" fmlaLink="DD_FLU_ODC_A_GroupC_2" fmlaRange="LU_FLU_RECC_PRICES_GROUP_C" noThreeD="1" sel="1" val="0"/>
</file>

<file path=xl/ctrlProps/ctrlProp1326.xml><?xml version="1.0" encoding="utf-8"?>
<formControlPr xmlns="http://schemas.microsoft.com/office/spreadsheetml/2009/9/main" objectType="Drop" dropLines="20" dropStyle="combo" dx="16" fmlaLink="DD_FLU_ODC_A_GroupC_3" fmlaRange="LU_FLU_RECC_PRICES_GROUP_C" noThreeD="1" sel="1" val="0"/>
</file>

<file path=xl/ctrlProps/ctrlProp1327.xml><?xml version="1.0" encoding="utf-8"?>
<formControlPr xmlns="http://schemas.microsoft.com/office/spreadsheetml/2009/9/main" objectType="Drop" dropLines="20" dropStyle="combo" dx="16" fmlaLink="DD_FLU_ODC_A_GroupC_4" fmlaRange="LU_FLU_RECC_PRICES_GROUP_C" noThreeD="1" sel="1" val="0"/>
</file>

<file path=xl/ctrlProps/ctrlProp1328.xml><?xml version="1.0" encoding="utf-8"?>
<formControlPr xmlns="http://schemas.microsoft.com/office/spreadsheetml/2009/9/main" objectType="Drop" dropLines="20" dropStyle="combo" dx="16" fmlaLink="DD_FLU_ODC_A_GroupC_5" fmlaRange="LU_FLU_RECC_PRICES_GROUP_C" noThreeD="1" sel="1" val="0"/>
</file>

<file path=xl/ctrlProps/ctrlProp1329.xml><?xml version="1.0" encoding="utf-8"?>
<formControlPr xmlns="http://schemas.microsoft.com/office/spreadsheetml/2009/9/main" objectType="Drop" dropLines="20" dropStyle="combo" dx="16" fmlaLink="DD_FLU_ODC_A_GroupD_1" fmlaRange="LU_FLU_RECC_PRICES_GROUP_D" noThreeD="1" sel="3" val="0"/>
</file>

<file path=xl/ctrlProps/ctrlProp133.xml><?xml version="1.0" encoding="utf-8"?>
<formControlPr xmlns="http://schemas.microsoft.com/office/spreadsheetml/2009/9/main" objectType="Drop" dropLines="20" dropStyle="combo" dx="20" fmlaLink="DD_FLU_MICROB_PERS_TIME_12" fmlaRange="LU_FLU_Personnel_Unit_Cost_Categories" noThreeD="1" sel="1" val="0"/>
</file>

<file path=xl/ctrlProps/ctrlProp1330.xml><?xml version="1.0" encoding="utf-8"?>
<formControlPr xmlns="http://schemas.microsoft.com/office/spreadsheetml/2009/9/main" objectType="Drop" dropLines="20" dropStyle="combo" dx="16" fmlaLink="DD_FLU_ODC_A_GroupD_2" fmlaRange="LU_FLU_RECC_PRICES_GROUP_D" noThreeD="1" sel="1" val="0"/>
</file>

<file path=xl/ctrlProps/ctrlProp1331.xml><?xml version="1.0" encoding="utf-8"?>
<formControlPr xmlns="http://schemas.microsoft.com/office/spreadsheetml/2009/9/main" objectType="Drop" dropLines="20" dropStyle="combo" dx="16" fmlaLink="DD_FLU_ODC_A_GroupD_3" fmlaRange="LU_FLU_RECC_PRICES_GROUP_D" noThreeD="1" sel="1" val="0"/>
</file>

<file path=xl/ctrlProps/ctrlProp1332.xml><?xml version="1.0" encoding="utf-8"?>
<formControlPr xmlns="http://schemas.microsoft.com/office/spreadsheetml/2009/9/main" objectType="Drop" dropLines="20" dropStyle="combo" dx="16" fmlaLink="DD_FLU_ODC_A_GroupD_4" fmlaRange="LU_FLU_RECC_PRICES_GROUP_D" noThreeD="1" sel="1" val="0"/>
</file>

<file path=xl/ctrlProps/ctrlProp1333.xml><?xml version="1.0" encoding="utf-8"?>
<formControlPr xmlns="http://schemas.microsoft.com/office/spreadsheetml/2009/9/main" objectType="Drop" dropLines="20" dropStyle="combo" dx="16" fmlaLink="DD_FLU_ODC_A_GroupD_5" fmlaRange="LU_FLU_RECC_PRICES_GROUP_D" noThreeD="1" sel="1" val="0"/>
</file>

<file path=xl/ctrlProps/ctrlProp1334.xml><?xml version="1.0" encoding="utf-8"?>
<formControlPr xmlns="http://schemas.microsoft.com/office/spreadsheetml/2009/9/main" objectType="Drop" dropLines="20" dropStyle="combo" dx="16" fmlaLink="DD_FLU_ODC_A_GroupD_6" fmlaRange="LU_FLU_RECC_PRICES_GROUP_D" noThreeD="1" sel="1" val="0"/>
</file>

<file path=xl/ctrlProps/ctrlProp1335.xml><?xml version="1.0" encoding="utf-8"?>
<formControlPr xmlns="http://schemas.microsoft.com/office/spreadsheetml/2009/9/main" objectType="Drop" dropLines="20" dropStyle="combo" dx="16" fmlaLink="DD_FLU_ODC_A_GroupD_7" fmlaRange="LU_FLU_RECC_PRICES_GROUP_D" noThreeD="1" sel="1" val="0"/>
</file>

<file path=xl/ctrlProps/ctrlProp1336.xml><?xml version="1.0" encoding="utf-8"?>
<formControlPr xmlns="http://schemas.microsoft.com/office/spreadsheetml/2009/9/main" objectType="Drop" dropLines="20" dropStyle="combo" dx="16" fmlaLink="DD_FLU_ODC_A_GroupD_8" fmlaRange="LU_FLU_RECC_PRICES_GROUP_D" noThreeD="1" sel="1" val="0"/>
</file>

<file path=xl/ctrlProps/ctrlProp1337.xml><?xml version="1.0" encoding="utf-8"?>
<formControlPr xmlns="http://schemas.microsoft.com/office/spreadsheetml/2009/9/main" objectType="Drop" dropLines="20" dropStyle="combo" dx="16" fmlaLink="DD_FLU_ODC_A_GroupD_9" fmlaRange="LU_FLU_RECC_PRICES_GROUP_D" noThreeD="1" sel="1" val="0"/>
</file>

<file path=xl/ctrlProps/ctrlProp1338.xml><?xml version="1.0" encoding="utf-8"?>
<formControlPr xmlns="http://schemas.microsoft.com/office/spreadsheetml/2009/9/main" objectType="Drop" dropLines="20" dropStyle="combo" dx="16" fmlaLink="DD_FLU_ODC_A_GroupE_1" fmlaRange="LU_FLU_RECC_PRICES_GROUP_E" noThreeD="1" sel="2" val="0"/>
</file>

<file path=xl/ctrlProps/ctrlProp1339.xml><?xml version="1.0" encoding="utf-8"?>
<formControlPr xmlns="http://schemas.microsoft.com/office/spreadsheetml/2009/9/main" objectType="Drop" dropLines="20" dropStyle="combo" dx="16" fmlaLink="DD_FLU_ODC_A_GroupE_2" fmlaRange="LU_FLU_RECC_PRICES_GROUP_E" noThreeD="1" sel="1" val="0"/>
</file>

<file path=xl/ctrlProps/ctrlProp134.xml><?xml version="1.0" encoding="utf-8"?>
<formControlPr xmlns="http://schemas.microsoft.com/office/spreadsheetml/2009/9/main" objectType="Drop" dropLines="20" dropStyle="combo" dx="20" fmlaLink="DD_FLU_MICROB_PERS_TIME_13" fmlaRange="LU_FLU_Personnel_Unit_Cost_Categories" noThreeD="1" sel="1" val="0"/>
</file>

<file path=xl/ctrlProps/ctrlProp1340.xml><?xml version="1.0" encoding="utf-8"?>
<formControlPr xmlns="http://schemas.microsoft.com/office/spreadsheetml/2009/9/main" objectType="Drop" dropLines="20" dropStyle="combo" dx="16" fmlaLink="DD_FLU_ODC_A_GroupE_3" fmlaRange="LU_FLU_RECC_PRICES_GROUP_E" noThreeD="1" sel="1" val="0"/>
</file>

<file path=xl/ctrlProps/ctrlProp1341.xml><?xml version="1.0" encoding="utf-8"?>
<formControlPr xmlns="http://schemas.microsoft.com/office/spreadsheetml/2009/9/main" objectType="Drop" dropLines="20" dropStyle="combo" dx="16" fmlaLink="DD_FLU_ODC_A_GroupE_4" fmlaRange="LU_FLU_RECC_PRICES_GROUP_E" noThreeD="1" sel="1" val="0"/>
</file>

<file path=xl/ctrlProps/ctrlProp1342.xml><?xml version="1.0" encoding="utf-8"?>
<formControlPr xmlns="http://schemas.microsoft.com/office/spreadsheetml/2009/9/main" objectType="Drop" dropLines="20" dropStyle="combo" dx="16" fmlaLink="DD_FLU_ODC_A_GroupE_5" fmlaRange="LU_FLU_RECC_PRICES_GROUP_E" noThreeD="1" sel="1" val="0"/>
</file>

<file path=xl/ctrlProps/ctrlProp1343.xml><?xml version="1.0" encoding="utf-8"?>
<formControlPr xmlns="http://schemas.microsoft.com/office/spreadsheetml/2009/9/main" objectType="Drop" dropLines="20" dropStyle="combo" dx="16" fmlaLink="DD_FLU_ODC_A_GroupE_6" fmlaRange="LU_FLU_RECC_PRICES_GROUP_E" noThreeD="1" sel="1" val="0"/>
</file>

<file path=xl/ctrlProps/ctrlProp1344.xml><?xml version="1.0" encoding="utf-8"?>
<formControlPr xmlns="http://schemas.microsoft.com/office/spreadsheetml/2009/9/main" objectType="Drop" dropLines="20" dropStyle="combo" dx="16" fmlaLink="DD_FLU_ODC_A_GroupE_7" fmlaRange="LU_FLU_RECC_PRICES_GROUP_E" noThreeD="1" sel="1" val="0"/>
</file>

<file path=xl/ctrlProps/ctrlProp1345.xml><?xml version="1.0" encoding="utf-8"?>
<formControlPr xmlns="http://schemas.microsoft.com/office/spreadsheetml/2009/9/main" objectType="Drop" dropLines="20" dropStyle="combo" dx="16" fmlaLink="DD_FLU_ODC_A_GroupE_8" fmlaRange="LU_FLU_RECC_PRICES_GROUP_E" noThreeD="1" sel="1" val="0"/>
</file>

<file path=xl/ctrlProps/ctrlProp1346.xml><?xml version="1.0" encoding="utf-8"?>
<formControlPr xmlns="http://schemas.microsoft.com/office/spreadsheetml/2009/9/main" objectType="Drop" dropLines="20" dropStyle="combo" dx="16" fmlaLink="DD_FLU_ODC_A_GroupE_9" fmlaRange="LU_FLU_RECC_PRICES_GROUP_E" noThreeD="1" sel="1" val="0"/>
</file>

<file path=xl/ctrlProps/ctrlProp1347.xml><?xml version="1.0" encoding="utf-8"?>
<formControlPr xmlns="http://schemas.microsoft.com/office/spreadsheetml/2009/9/main" objectType="Drop" dropLines="20" dropStyle="combo" dx="20" fmlaLink="DD_FLU_ODC_A_GroupC_6" fmlaRange="LU_FLU_RECC_PRICES_GROUP_C" noThreeD="1" sel="1" val="0"/>
</file>

<file path=xl/ctrlProps/ctrlProp1348.xml><?xml version="1.0" encoding="utf-8"?>
<formControlPr xmlns="http://schemas.microsoft.com/office/spreadsheetml/2009/9/main" objectType="Drop" dropLines="20" dropStyle="combo" dx="20" fmlaLink="DD_FLU_ODC_A_GroupC_7" fmlaRange="LU_FLU_RECC_PRICES_GROUP_C" noThreeD="1" sel="1" val="0"/>
</file>

<file path=xl/ctrlProps/ctrlProp1349.xml><?xml version="1.0" encoding="utf-8"?>
<formControlPr xmlns="http://schemas.microsoft.com/office/spreadsheetml/2009/9/main" objectType="Drop" dropLines="20" dropStyle="combo" dx="20" fmlaLink="DD_FLU_ODC_A_GroupC_8" fmlaRange="LU_FLU_RECC_PRICES_GROUP_C" noThreeD="1" sel="1" val="0"/>
</file>

<file path=xl/ctrlProps/ctrlProp135.xml><?xml version="1.0" encoding="utf-8"?>
<formControlPr xmlns="http://schemas.microsoft.com/office/spreadsheetml/2009/9/main" objectType="Drop" dropLines="20" dropStyle="combo" dx="20" fmlaLink="DD_FLU_MICROB_PERS_TIME_14" fmlaRange="LU_FLU_Personnel_Unit_Cost_Categories" noThreeD="1" sel="1" val="0"/>
</file>

<file path=xl/ctrlProps/ctrlProp1350.xml><?xml version="1.0" encoding="utf-8"?>
<formControlPr xmlns="http://schemas.microsoft.com/office/spreadsheetml/2009/9/main" objectType="Drop" dropLines="20" dropStyle="combo" dx="20" fmlaLink="DD_FLU_ODC_A_GroupC_9" fmlaRange="LU_FLU_RECC_PRICES_GROUP_C" noThreeD="1" sel="1" val="0"/>
</file>

<file path=xl/ctrlProps/ctrlProp1351.xml><?xml version="1.0" encoding="utf-8"?>
<formControlPr xmlns="http://schemas.microsoft.com/office/spreadsheetml/2009/9/main" objectType="Drop" dropLines="20" dropStyle="combo" dx="20" fmlaLink="DD_FLU_ODC_A_GroupC_10" fmlaRange="LU_FLU_RECC_PRICES_GROUP_C" noThreeD="1" sel="1" val="0"/>
</file>

<file path=xl/ctrlProps/ctrlProp1352.xml><?xml version="1.0" encoding="utf-8"?>
<formControlPr xmlns="http://schemas.microsoft.com/office/spreadsheetml/2009/9/main" objectType="Drop" dropLines="20" dropStyle="combo" dx="16" fmlaLink="$I$15" fmlaRange="LU_FLU_Personnel_Unit_Cost_Categories" noThreeD="1" sel="1" val="0"/>
</file>

<file path=xl/ctrlProps/ctrlProp1353.xml><?xml version="1.0" encoding="utf-8"?>
<formControlPr xmlns="http://schemas.microsoft.com/office/spreadsheetml/2009/9/main" objectType="Drop" dropLines="20" dropStyle="combo" dx="16" fmlaLink="$I$16" fmlaRange="LU_FLU_Personnel_Unit_Cost_Categories" noThreeD="1" sel="1" val="0"/>
</file>

<file path=xl/ctrlProps/ctrlProp1354.xml><?xml version="1.0" encoding="utf-8"?>
<formControlPr xmlns="http://schemas.microsoft.com/office/spreadsheetml/2009/9/main" objectType="Drop" dropLines="20" dropStyle="combo" dx="16" fmlaLink="$I$17" fmlaRange="LU_FLU_Personnel_Unit_Cost_Categories" noThreeD="1" sel="1" val="0"/>
</file>

<file path=xl/ctrlProps/ctrlProp1355.xml><?xml version="1.0" encoding="utf-8"?>
<formControlPr xmlns="http://schemas.microsoft.com/office/spreadsheetml/2009/9/main" objectType="Drop" dropLines="20" dropStyle="combo" dx="16" fmlaLink="$I$18" fmlaRange="LU_FLU_Personnel_Unit_Cost_Categories" noThreeD="1" sel="1" val="0"/>
</file>

<file path=xl/ctrlProps/ctrlProp1356.xml><?xml version="1.0" encoding="utf-8"?>
<formControlPr xmlns="http://schemas.microsoft.com/office/spreadsheetml/2009/9/main" objectType="Drop" dropLines="20" dropStyle="combo" dx="16" fmlaLink="$I$19" fmlaRange="LU_FLU_Personnel_Unit_Cost_Categories" noThreeD="1" sel="1" val="0"/>
</file>

<file path=xl/ctrlProps/ctrlProp1357.xml><?xml version="1.0" encoding="utf-8"?>
<formControlPr xmlns="http://schemas.microsoft.com/office/spreadsheetml/2009/9/main" objectType="Drop" dropLines="20" dropStyle="combo" dx="16" fmlaLink="$I$20" fmlaRange="LU_FLU_Personnel_Unit_Cost_Categories" noThreeD="1" sel="1" val="0"/>
</file>

<file path=xl/ctrlProps/ctrlProp1358.xml><?xml version="1.0" encoding="utf-8"?>
<formControlPr xmlns="http://schemas.microsoft.com/office/spreadsheetml/2009/9/main" objectType="Drop" dropLines="20" dropStyle="combo" dx="16" fmlaLink="$I$21" fmlaRange="LU_FLU_Personnel_Unit_Cost_Categories" noThreeD="1" sel="1" val="0"/>
</file>

<file path=xl/ctrlProps/ctrlProp1359.xml><?xml version="1.0" encoding="utf-8"?>
<formControlPr xmlns="http://schemas.microsoft.com/office/spreadsheetml/2009/9/main" objectType="Drop" dropLines="20" dropStyle="combo" dx="16" fmlaLink="$I$22" fmlaRange="LU_FLU_Personnel_Unit_Cost_Categories" noThreeD="1" sel="1" val="0"/>
</file>

<file path=xl/ctrlProps/ctrlProp136.xml><?xml version="1.0" encoding="utf-8"?>
<formControlPr xmlns="http://schemas.microsoft.com/office/spreadsheetml/2009/9/main" objectType="Drop" dropLines="20" dropStyle="combo" dx="20" fmlaLink="DD_FLU_MICROB_ALLOW_1" fmlaRange="LU_FLU_RECC_PRICES_GROUP_C" noThreeD="1" sel="2" val="0"/>
</file>

<file path=xl/ctrlProps/ctrlProp1360.xml><?xml version="1.0" encoding="utf-8"?>
<formControlPr xmlns="http://schemas.microsoft.com/office/spreadsheetml/2009/9/main" objectType="Drop" dropLines="20" dropStyle="combo" dx="16" fmlaLink="$I$23" fmlaRange="LU_FLU_Personnel_Unit_Cost_Categories" noThreeD="1" sel="1" val="0"/>
</file>

<file path=xl/ctrlProps/ctrlProp1361.xml><?xml version="1.0" encoding="utf-8"?>
<formControlPr xmlns="http://schemas.microsoft.com/office/spreadsheetml/2009/9/main" objectType="Drop" dropLines="20" dropStyle="combo" dx="16" fmlaLink="$I$24" fmlaRange="LU_FLU_Personnel_Unit_Cost_Categories" noThreeD="1" sel="1" val="0"/>
</file>

<file path=xl/ctrlProps/ctrlProp1362.xml><?xml version="1.0" encoding="utf-8"?>
<formControlPr xmlns="http://schemas.microsoft.com/office/spreadsheetml/2009/9/main" objectType="Drop" dropLines="20" dropStyle="combo" dx="16" fmlaLink="$I$25" fmlaRange="LU_FLU_Personnel_Unit_Cost_Categories" noThreeD="1" sel="1" val="0"/>
</file>

<file path=xl/ctrlProps/ctrlProp1363.xml><?xml version="1.0" encoding="utf-8"?>
<formControlPr xmlns="http://schemas.microsoft.com/office/spreadsheetml/2009/9/main" objectType="Drop" dropLines="20" dropStyle="combo" dx="16" fmlaLink="$I$26" fmlaRange="LU_FLU_Personnel_Unit_Cost_Categories" noThreeD="1" sel="1" val="0"/>
</file>

<file path=xl/ctrlProps/ctrlProp1364.xml><?xml version="1.0" encoding="utf-8"?>
<formControlPr xmlns="http://schemas.microsoft.com/office/spreadsheetml/2009/9/main" objectType="Drop" dropLines="20" dropStyle="combo" dx="16" fmlaLink="$I$27" fmlaRange="LU_FLU_Personnel_Unit_Cost_Categories" noThreeD="1" sel="1" val="0"/>
</file>

<file path=xl/ctrlProps/ctrlProp1365.xml><?xml version="1.0" encoding="utf-8"?>
<formControlPr xmlns="http://schemas.microsoft.com/office/spreadsheetml/2009/9/main" objectType="Drop" dropLines="20" dropStyle="combo" dx="16" fmlaLink="$I$28" fmlaRange="LU_FLU_Personnel_Unit_Cost_Categories" noThreeD="1" sel="1" val="0"/>
</file>

<file path=xl/ctrlProps/ctrlProp1366.xml><?xml version="1.0" encoding="utf-8"?>
<formControlPr xmlns="http://schemas.microsoft.com/office/spreadsheetml/2009/9/main" objectType="Drop" dropLines="20" dropStyle="combo" dx="16" fmlaLink="$I$29" fmlaRange="LU_FLU_Personnel_Unit_Cost_Categories" noThreeD="1" sel="1" val="0"/>
</file>

<file path=xl/ctrlProps/ctrlProp1367.xml><?xml version="1.0" encoding="utf-8"?>
<formControlPr xmlns="http://schemas.microsoft.com/office/spreadsheetml/2009/9/main" objectType="Drop" dropLines="20" dropStyle="combo" dx="16" fmlaLink="DD_FLU_ODC_A_GroupB_1" fmlaRange="LU_FLU_RECC_PRICES_GROUP_A" noThreeD="1" sel="6" val="2"/>
</file>

<file path=xl/ctrlProps/ctrlProp1368.xml><?xml version="1.0" encoding="utf-8"?>
<formControlPr xmlns="http://schemas.microsoft.com/office/spreadsheetml/2009/9/main" objectType="Drop" dropLines="20" dropStyle="combo" dx="16" fmlaLink="DD_FLU_ODC_A_GroupB_2" fmlaRange="LU_FLU_RECC_PRICES_GROUP_A" noThreeD="1" sel="5" val="0"/>
</file>

<file path=xl/ctrlProps/ctrlProp1369.xml><?xml version="1.0" encoding="utf-8"?>
<formControlPr xmlns="http://schemas.microsoft.com/office/spreadsheetml/2009/9/main" objectType="Drop" dropLines="20" dropStyle="combo" dx="16" fmlaLink="DD_FLU_ODC_A_GroupB_3" fmlaRange="LU_FLU_RECC_PRICES_GROUP_A" noThreeD="1" sel="8" val="0"/>
</file>

<file path=xl/ctrlProps/ctrlProp137.xml><?xml version="1.0" encoding="utf-8"?>
<formControlPr xmlns="http://schemas.microsoft.com/office/spreadsheetml/2009/9/main" objectType="Drop" dropLines="20" dropStyle="combo" dx="20" fmlaLink="DD_FLU_MICROB_ALLOW_2" fmlaRange="LU_FLU_RECC_PRICES_GROUP_C" noThreeD="1" sel="1" val="0"/>
</file>

<file path=xl/ctrlProps/ctrlProp1370.xml><?xml version="1.0" encoding="utf-8"?>
<formControlPr xmlns="http://schemas.microsoft.com/office/spreadsheetml/2009/9/main" objectType="Drop" dropLines="20" dropStyle="combo" dx="16" fmlaLink="DD_FLU_ODC_A_GroupB_4" fmlaRange="LU_FLU_RECC_PRICES_GROUP_A" noThreeD="1" sel="10" val="0"/>
</file>

<file path=xl/ctrlProps/ctrlProp1371.xml><?xml version="1.0" encoding="utf-8"?>
<formControlPr xmlns="http://schemas.microsoft.com/office/spreadsheetml/2009/9/main" objectType="Drop" dropLines="20" dropStyle="combo" dx="16" fmlaLink="DD_FLU_ODC_A_GroupB_5" fmlaRange="LU_FLU_RECC_PRICES_GROUP_A" noThreeD="1" sel="9" val="0"/>
</file>

<file path=xl/ctrlProps/ctrlProp1372.xml><?xml version="1.0" encoding="utf-8"?>
<formControlPr xmlns="http://schemas.microsoft.com/office/spreadsheetml/2009/9/main" objectType="Drop" dropLines="20" dropStyle="combo" dx="16" fmlaLink="DD_FLU_ODC_A_GroupB_6" fmlaRange="LU_FLU_RECC_PRICES_GROUP_A" noThreeD="1" sel="1" val="0"/>
</file>

<file path=xl/ctrlProps/ctrlProp1373.xml><?xml version="1.0" encoding="utf-8"?>
<formControlPr xmlns="http://schemas.microsoft.com/office/spreadsheetml/2009/9/main" objectType="Drop" dropLines="20" dropStyle="combo" dx="16" fmlaLink="DD_FLU_ODC_A_GroupB_7" fmlaRange="LU_FLU_RECC_PRICES_GROUP_A" noThreeD="1" sel="1" val="0"/>
</file>

<file path=xl/ctrlProps/ctrlProp1374.xml><?xml version="1.0" encoding="utf-8"?>
<formControlPr xmlns="http://schemas.microsoft.com/office/spreadsheetml/2009/9/main" objectType="Drop" dropLines="20" dropStyle="combo" dx="16" fmlaLink="DD_FLU_ODC_A_GroupB_8" fmlaRange="LU_FLU_RECC_PRICES_GROUP_A" noThreeD="1" sel="1" val="0"/>
</file>

<file path=xl/ctrlProps/ctrlProp1375.xml><?xml version="1.0" encoding="utf-8"?>
<formControlPr xmlns="http://schemas.microsoft.com/office/spreadsheetml/2009/9/main" objectType="Drop" dropLines="20" dropStyle="combo" dx="16" fmlaLink="DD_FLU_ODC_A_GroupB_9" fmlaRange="LU_FLU_RECC_PRICES_GROUP_A" noThreeD="1" sel="1" val="0"/>
</file>

<file path=xl/ctrlProps/ctrlProp1376.xml><?xml version="1.0" encoding="utf-8"?>
<formControlPr xmlns="http://schemas.microsoft.com/office/spreadsheetml/2009/9/main" objectType="Drop" dropLines="20" dropStyle="combo" dx="16" fmlaLink="DD_FLU_ODC_A_GroupB_10" fmlaRange="LU_FLU_RECC_PRICES_GROUP_A" noThreeD="1" sel="1" val="0"/>
</file>

<file path=xl/ctrlProps/ctrlProp1377.xml><?xml version="1.0" encoding="utf-8"?>
<formControlPr xmlns="http://schemas.microsoft.com/office/spreadsheetml/2009/9/main" objectType="Drop" dropLines="20" dropStyle="combo" dx="16" fmlaLink="DD_FLU_ODC_A_GroupB_11" fmlaRange="LU_FLU_RECC_PRICES_GROUP_A" noThreeD="1" sel="1" val="0"/>
</file>

<file path=xl/ctrlProps/ctrlProp1378.xml><?xml version="1.0" encoding="utf-8"?>
<formControlPr xmlns="http://schemas.microsoft.com/office/spreadsheetml/2009/9/main" objectType="Drop" dropLines="20" dropStyle="combo" dx="16" fmlaLink="DD_FLU_ODC_A_GroupB_12" fmlaRange="LU_FLU_RECC_PRICES_GROUP_A" noThreeD="1" sel="1" val="0"/>
</file>

<file path=xl/ctrlProps/ctrlProp1379.xml><?xml version="1.0" encoding="utf-8"?>
<formControlPr xmlns="http://schemas.microsoft.com/office/spreadsheetml/2009/9/main" objectType="Drop" dropLines="20" dropStyle="combo" dx="16" fmlaLink="DD_FLU_ODC_A_GroupB_13" fmlaRange="LU_FLU_RECC_PRICES_GROUP_A" noThreeD="1" sel="1" val="0"/>
</file>

<file path=xl/ctrlProps/ctrlProp138.xml><?xml version="1.0" encoding="utf-8"?>
<formControlPr xmlns="http://schemas.microsoft.com/office/spreadsheetml/2009/9/main" objectType="Drop" dropLines="20" dropStyle="combo" dx="20" fmlaLink="DD_FLU_MICROB_ALLOW_3" fmlaRange="LU_FLU_RECC_PRICES_GROUP_C" noThreeD="1" sel="1" val="0"/>
</file>

<file path=xl/ctrlProps/ctrlProp1380.xml><?xml version="1.0" encoding="utf-8"?>
<formControlPr xmlns="http://schemas.microsoft.com/office/spreadsheetml/2009/9/main" objectType="Drop" dropLines="20" dropStyle="combo" dx="16" fmlaLink="DD_FLU_ODC_A_GroupB_14" fmlaRange="LU_FLU_RECC_PRICES_GROUP_A" noThreeD="1" sel="1" val="0"/>
</file>

<file path=xl/ctrlProps/ctrlProp1381.xml><?xml version="1.0" encoding="utf-8"?>
<formControlPr xmlns="http://schemas.microsoft.com/office/spreadsheetml/2009/9/main" objectType="Drop" dropLines="20" dropStyle="combo" dx="16" fmlaLink="DD_FLU_ODC_A_GroupB_15" fmlaRange="LU_FLU_RECC_PRICES_GROUP_A" noThreeD="1" sel="1" val="0"/>
</file>

<file path=xl/ctrlProps/ctrlProp1382.xml><?xml version="1.0" encoding="utf-8"?>
<formControlPr xmlns="http://schemas.microsoft.com/office/spreadsheetml/2009/9/main" objectType="Drop" dropLines="20" dropStyle="combo" dx="16" fmlaLink="$D$81" fmlaRange="LU_FLU_RECC_PRICES_GROUP_A" noThreeD="1" sel="2" val="0"/>
</file>

<file path=xl/ctrlProps/ctrlProp1383.xml><?xml version="1.0" encoding="utf-8"?>
<formControlPr xmlns="http://schemas.microsoft.com/office/spreadsheetml/2009/9/main" objectType="Drop" dropLines="20" dropStyle="combo" dx="16" fmlaLink="$D$82" fmlaRange="LU_FLU_RECC_PRICES_GROUP_A" noThreeD="1" sel="1" val="0"/>
</file>

<file path=xl/ctrlProps/ctrlProp1384.xml><?xml version="1.0" encoding="utf-8"?>
<formControlPr xmlns="http://schemas.microsoft.com/office/spreadsheetml/2009/9/main" objectType="Drop" dropLines="20" dropStyle="combo" dx="16" fmlaLink="$D$83" fmlaRange="LU_FLU_RECC_PRICES_GROUP_A" noThreeD="1" sel="1" val="0"/>
</file>

<file path=xl/ctrlProps/ctrlProp1385.xml><?xml version="1.0" encoding="utf-8"?>
<formControlPr xmlns="http://schemas.microsoft.com/office/spreadsheetml/2009/9/main" objectType="Drop" dropLines="20" dropStyle="combo" dx="16" fmlaLink="$D$84" fmlaRange="LU_FLU_RECC_PRICES_GROUP_A" noThreeD="1" sel="1" val="0"/>
</file>

<file path=xl/ctrlProps/ctrlProp1386.xml><?xml version="1.0" encoding="utf-8"?>
<formControlPr xmlns="http://schemas.microsoft.com/office/spreadsheetml/2009/9/main" objectType="Drop" dropLines="20" dropStyle="combo" dx="16" fmlaLink="$D$85" fmlaRange="LU_FLU_RECC_PRICES_GROUP_A" noThreeD="1" sel="1" val="0"/>
</file>

<file path=xl/ctrlProps/ctrlProp1387.xml><?xml version="1.0" encoding="utf-8"?>
<formControlPr xmlns="http://schemas.microsoft.com/office/spreadsheetml/2009/9/main" objectType="Drop" dropLines="20" dropStyle="combo" dx="16" fmlaLink="$D$86" fmlaRange="LU_FLU_RECC_PRICES_GROUP_A" noThreeD="1" sel="1" val="0"/>
</file>

<file path=xl/ctrlProps/ctrlProp1388.xml><?xml version="1.0" encoding="utf-8"?>
<formControlPr xmlns="http://schemas.microsoft.com/office/spreadsheetml/2009/9/main" objectType="Drop" dropLines="20" dropStyle="combo" dx="16" fmlaLink="$D$87" fmlaRange="LU_FLU_RECC_PRICES_GROUP_A" noThreeD="1" sel="1" val="0"/>
</file>

<file path=xl/ctrlProps/ctrlProp1389.xml><?xml version="1.0" encoding="utf-8"?>
<formControlPr xmlns="http://schemas.microsoft.com/office/spreadsheetml/2009/9/main" objectType="Drop" dropLines="20" dropStyle="combo" dx="16" fmlaLink="$D$88" fmlaRange="LU_FLU_RECC_PRICES_GROUP_A" noThreeD="1" sel="1" val="0"/>
</file>

<file path=xl/ctrlProps/ctrlProp139.xml><?xml version="1.0" encoding="utf-8"?>
<formControlPr xmlns="http://schemas.microsoft.com/office/spreadsheetml/2009/9/main" objectType="Drop" dropLines="20" dropStyle="combo" dx="20" fmlaLink="DD_FLU_MICROB_ALLOW_4" fmlaRange="LU_FLU_RECC_PRICES_GROUP_C" noThreeD="1" sel="1" val="0"/>
</file>

<file path=xl/ctrlProps/ctrlProp1390.xml><?xml version="1.0" encoding="utf-8"?>
<formControlPr xmlns="http://schemas.microsoft.com/office/spreadsheetml/2009/9/main" objectType="Drop" dropLines="20" dropStyle="combo" dx="16" fmlaLink="$D$89" fmlaRange="LU_FLU_RECC_PRICES_GROUP_A" noThreeD="1" sel="1" val="0"/>
</file>

<file path=xl/ctrlProps/ctrlProp1391.xml><?xml version="1.0" encoding="utf-8"?>
<formControlPr xmlns="http://schemas.microsoft.com/office/spreadsheetml/2009/9/main" objectType="Drop" dropLines="20" dropStyle="combo" dx="16" fmlaLink="$D$90" fmlaRange="LU_FLU_RECC_PRICES_GROUP_A" noThreeD="1" sel="1" val="0"/>
</file>

<file path=xl/ctrlProps/ctrlProp1392.xml><?xml version="1.0" encoding="utf-8"?>
<formControlPr xmlns="http://schemas.microsoft.com/office/spreadsheetml/2009/9/main" objectType="Drop" dropLines="20" dropStyle="combo" dx="16" fmlaLink="$D$91" fmlaRange="LU_FLU_RECC_PRICES_GROUP_A" noThreeD="1" sel="1" val="0"/>
</file>

<file path=xl/ctrlProps/ctrlProp1393.xml><?xml version="1.0" encoding="utf-8"?>
<formControlPr xmlns="http://schemas.microsoft.com/office/spreadsheetml/2009/9/main" objectType="Drop" dropLines="20" dropStyle="combo" dx="16" fmlaLink="$D$92" fmlaRange="LU_FLU_RECC_PRICES_GROUP_A" noThreeD="1" sel="1" val="0"/>
</file>

<file path=xl/ctrlProps/ctrlProp1394.xml><?xml version="1.0" encoding="utf-8"?>
<formControlPr xmlns="http://schemas.microsoft.com/office/spreadsheetml/2009/9/main" objectType="Drop" dropLines="20" dropStyle="combo" dx="16" fmlaLink="$D$93" fmlaRange="LU_FLU_RECC_PRICES_GROUP_A" noThreeD="1" sel="1" val="0"/>
</file>

<file path=xl/ctrlProps/ctrlProp1395.xml><?xml version="1.0" encoding="utf-8"?>
<formControlPr xmlns="http://schemas.microsoft.com/office/spreadsheetml/2009/9/main" objectType="Drop" dropLines="20" dropStyle="combo" dx="16" fmlaLink="$D$94" fmlaRange="LU_FLU_RECC_PRICES_GROUP_A" noThreeD="1" sel="1" val="0"/>
</file>

<file path=xl/ctrlProps/ctrlProp1396.xml><?xml version="1.0" encoding="utf-8"?>
<formControlPr xmlns="http://schemas.microsoft.com/office/spreadsheetml/2009/9/main" objectType="Drop" dropLines="20" dropStyle="combo" dx="16" fmlaLink="$D$95" fmlaRange="LU_FLU_RECC_PRICES_GROUP_A" noThreeD="1" sel="1" val="0"/>
</file>

<file path=xl/ctrlProps/ctrlProp1397.xml><?xml version="1.0" encoding="utf-8"?>
<formControlPr xmlns="http://schemas.microsoft.com/office/spreadsheetml/2009/9/main" objectType="Drop" dropLines="20" dropStyle="combo" dx="16" fmlaLink="$D$100" fmlaRange="LU_FLU_RECC_PRICES_GROUP_C" noThreeD="1" sel="2" val="0"/>
</file>

<file path=xl/ctrlProps/ctrlProp1398.xml><?xml version="1.0" encoding="utf-8"?>
<formControlPr xmlns="http://schemas.microsoft.com/office/spreadsheetml/2009/9/main" objectType="Drop" dropLines="20" dropStyle="combo" dx="16" fmlaLink="$D$101" fmlaRange="LU_FLU_RECC_PRICES_GROUP_C" noThreeD="1" sel="1" val="0"/>
</file>

<file path=xl/ctrlProps/ctrlProp1399.xml><?xml version="1.0" encoding="utf-8"?>
<formControlPr xmlns="http://schemas.microsoft.com/office/spreadsheetml/2009/9/main" objectType="Drop" dropLines="20" dropStyle="combo" dx="16" fmlaLink="$D$102" fmlaRange="LU_FLU_RECC_PRICES_GROUP_C" noThreeD="1" sel="1" val="0"/>
</file>

<file path=xl/ctrlProps/ctrlProp14.xml><?xml version="1.0" encoding="utf-8"?>
<formControlPr xmlns="http://schemas.microsoft.com/office/spreadsheetml/2009/9/main" objectType="Drop" dropLines="20" dropStyle="combo" dx="16" fmlaLink="$G$81" fmlaRange="LU_FLU_Curr_Code" noThreeD="1" sel="2" val="0"/>
</file>

<file path=xl/ctrlProps/ctrlProp140.xml><?xml version="1.0" encoding="utf-8"?>
<formControlPr xmlns="http://schemas.microsoft.com/office/spreadsheetml/2009/9/main" objectType="Drop" dropLines="20" dropStyle="combo" dx="20" fmlaLink="DD_FLU_MICROB_ALLOW_5" fmlaRange="LU_FLU_RECC_PRICES_GROUP_C" noThreeD="1" sel="1" val="0"/>
</file>

<file path=xl/ctrlProps/ctrlProp1400.xml><?xml version="1.0" encoding="utf-8"?>
<formControlPr xmlns="http://schemas.microsoft.com/office/spreadsheetml/2009/9/main" objectType="Drop" dropLines="20" dropStyle="combo" dx="16" fmlaLink="$D$103" fmlaRange="LU_FLU_RECC_PRICES_GROUP_C" noThreeD="1" sel="1" val="0"/>
</file>

<file path=xl/ctrlProps/ctrlProp1401.xml><?xml version="1.0" encoding="utf-8"?>
<formControlPr xmlns="http://schemas.microsoft.com/office/spreadsheetml/2009/9/main" objectType="Drop" dropLines="20" dropStyle="combo" dx="16" fmlaLink="$D$104" fmlaRange="LU_FLU_RECC_PRICES_GROUP_C" noThreeD="1" sel="1" val="0"/>
</file>

<file path=xl/ctrlProps/ctrlProp1402.xml><?xml version="1.0" encoding="utf-8"?>
<formControlPr xmlns="http://schemas.microsoft.com/office/spreadsheetml/2009/9/main" objectType="Drop" dropLines="20" dropStyle="combo" dx="16" fmlaLink="$D$105" fmlaRange="LU_FLU_RECC_PRICES_GROUP_C" noThreeD="1" sel="1" val="0"/>
</file>

<file path=xl/ctrlProps/ctrlProp1403.xml><?xml version="1.0" encoding="utf-8"?>
<formControlPr xmlns="http://schemas.microsoft.com/office/spreadsheetml/2009/9/main" objectType="Drop" dropLines="20" dropStyle="combo" dx="16" fmlaLink="$D$106" fmlaRange="LU_FLU_RECC_PRICES_GROUP_C" noThreeD="1" sel="1" val="0"/>
</file>

<file path=xl/ctrlProps/ctrlProp1404.xml><?xml version="1.0" encoding="utf-8"?>
<formControlPr xmlns="http://schemas.microsoft.com/office/spreadsheetml/2009/9/main" objectType="Drop" dropLines="20" dropStyle="combo" dx="16" fmlaLink="$D$107" fmlaRange="LU_FLU_RECC_PRICES_GROUP_C" noThreeD="1" sel="1" val="0"/>
</file>

<file path=xl/ctrlProps/ctrlProp1405.xml><?xml version="1.0" encoding="utf-8"?>
<formControlPr xmlns="http://schemas.microsoft.com/office/spreadsheetml/2009/9/main" objectType="Drop" dropLines="20" dropStyle="combo" dx="16" fmlaLink="$D$108" fmlaRange="LU_FLU_RECC_PRICES_GROUP_C" noThreeD="1" sel="1" val="0"/>
</file>

<file path=xl/ctrlProps/ctrlProp1406.xml><?xml version="1.0" encoding="utf-8"?>
<formControlPr xmlns="http://schemas.microsoft.com/office/spreadsheetml/2009/9/main" objectType="Drop" dropLines="20" dropStyle="combo" dx="16" fmlaLink="$D$109" fmlaRange="LU_FLU_RECC_PRICES_GROUP_C" noThreeD="1" sel="1" val="0"/>
</file>

<file path=xl/ctrlProps/ctrlProp1407.xml><?xml version="1.0" encoding="utf-8"?>
<formControlPr xmlns="http://schemas.microsoft.com/office/spreadsheetml/2009/9/main" objectType="Drop" dropLines="20" dropStyle="combo" dx="16" fmlaLink="$D$114" fmlaRange="LU_FLU_RECC_PRICES_GROUP_D" noThreeD="1" sel="3" val="0"/>
</file>

<file path=xl/ctrlProps/ctrlProp1408.xml><?xml version="1.0" encoding="utf-8"?>
<formControlPr xmlns="http://schemas.microsoft.com/office/spreadsheetml/2009/9/main" objectType="Drop" dropLines="20" dropStyle="combo" dx="16" fmlaLink="$D$115" fmlaRange="LU_FLU_RECC_PRICES_GROUP_D" noThreeD="1" sel="1" val="0"/>
</file>

<file path=xl/ctrlProps/ctrlProp1409.xml><?xml version="1.0" encoding="utf-8"?>
<formControlPr xmlns="http://schemas.microsoft.com/office/spreadsheetml/2009/9/main" objectType="Drop" dropLines="20" dropStyle="combo" dx="16" fmlaLink="$D$116" fmlaRange="LU_FLU_RECC_PRICES_GROUP_D" noThreeD="1" sel="1" val="0"/>
</file>

<file path=xl/ctrlProps/ctrlProp141.xml><?xml version="1.0" encoding="utf-8"?>
<formControlPr xmlns="http://schemas.microsoft.com/office/spreadsheetml/2009/9/main" objectType="Drop" dropLines="20" dropStyle="combo" dx="20" fmlaLink="DD_FLU_MICROB_ALLOW_6" fmlaRange="LU_FLU_RECC_PRICES_GROUP_C" noThreeD="1" sel="1" val="0"/>
</file>

<file path=xl/ctrlProps/ctrlProp1410.xml><?xml version="1.0" encoding="utf-8"?>
<formControlPr xmlns="http://schemas.microsoft.com/office/spreadsheetml/2009/9/main" objectType="Drop" dropLines="20" dropStyle="combo" dx="16" fmlaLink="$D$117" fmlaRange="LU_FLU_RECC_PRICES_GROUP_D" noThreeD="1" sel="1" val="0"/>
</file>

<file path=xl/ctrlProps/ctrlProp1411.xml><?xml version="1.0" encoding="utf-8"?>
<formControlPr xmlns="http://schemas.microsoft.com/office/spreadsheetml/2009/9/main" objectType="Drop" dropLines="20" dropStyle="combo" dx="16" fmlaLink="$D$118" fmlaRange="LU_FLU_RECC_PRICES_GROUP_D" noThreeD="1" sel="1" val="0"/>
</file>

<file path=xl/ctrlProps/ctrlProp1412.xml><?xml version="1.0" encoding="utf-8"?>
<formControlPr xmlns="http://schemas.microsoft.com/office/spreadsheetml/2009/9/main" objectType="Drop" dropLines="20" dropStyle="combo" dx="16" fmlaLink="$D$119" fmlaRange="LU_FLU_RECC_PRICES_GROUP_D" noThreeD="1" sel="1" val="0"/>
</file>

<file path=xl/ctrlProps/ctrlProp1413.xml><?xml version="1.0" encoding="utf-8"?>
<formControlPr xmlns="http://schemas.microsoft.com/office/spreadsheetml/2009/9/main" objectType="Drop" dropLines="20" dropStyle="combo" dx="16" fmlaLink="$D$120" fmlaRange="LU_FLU_RECC_PRICES_GROUP_D" noThreeD="1" sel="1" val="0"/>
</file>

<file path=xl/ctrlProps/ctrlProp1414.xml><?xml version="1.0" encoding="utf-8"?>
<formControlPr xmlns="http://schemas.microsoft.com/office/spreadsheetml/2009/9/main" objectType="Drop" dropLines="20" dropStyle="combo" dx="16" fmlaLink="$D$121" fmlaRange="LU_FLU_RECC_PRICES_GROUP_D" noThreeD="1" sel="1" val="0"/>
</file>

<file path=xl/ctrlProps/ctrlProp1415.xml><?xml version="1.0" encoding="utf-8"?>
<formControlPr xmlns="http://schemas.microsoft.com/office/spreadsheetml/2009/9/main" objectType="Drop" dropLines="20" dropStyle="combo" dx="16" fmlaLink="$D$122" fmlaRange="LU_FLU_RECC_PRICES_GROUP_D" noThreeD="1" sel="1" val="0"/>
</file>

<file path=xl/ctrlProps/ctrlProp1416.xml><?xml version="1.0" encoding="utf-8"?>
<formControlPr xmlns="http://schemas.microsoft.com/office/spreadsheetml/2009/9/main" objectType="Drop" dropLines="20" dropStyle="combo" dx="16" fmlaLink="$D$127" fmlaRange="LU_FLU_RECC_PRICES_GROUP_E" noThreeD="1" sel="1" val="0"/>
</file>

<file path=xl/ctrlProps/ctrlProp1417.xml><?xml version="1.0" encoding="utf-8"?>
<formControlPr xmlns="http://schemas.microsoft.com/office/spreadsheetml/2009/9/main" objectType="Drop" dropLines="20" dropStyle="combo" dx="16" fmlaLink="$D$128" fmlaRange="LU_FLU_RECC_PRICES_GROUP_E" noThreeD="1" sel="1" val="0"/>
</file>

<file path=xl/ctrlProps/ctrlProp1418.xml><?xml version="1.0" encoding="utf-8"?>
<formControlPr xmlns="http://schemas.microsoft.com/office/spreadsheetml/2009/9/main" objectType="Drop" dropLines="20" dropStyle="combo" dx="16" fmlaLink="$D$129" fmlaRange="LU_FLU_RECC_PRICES_GROUP_E" noThreeD="1" sel="1" val="0"/>
</file>

<file path=xl/ctrlProps/ctrlProp1419.xml><?xml version="1.0" encoding="utf-8"?>
<formControlPr xmlns="http://schemas.microsoft.com/office/spreadsheetml/2009/9/main" objectType="Drop" dropLines="20" dropStyle="combo" dx="16" fmlaLink="$D$130" fmlaRange="LU_FLU_RECC_PRICES_GROUP_E" noThreeD="1" sel="1" val="0"/>
</file>

<file path=xl/ctrlProps/ctrlProp142.xml><?xml version="1.0" encoding="utf-8"?>
<formControlPr xmlns="http://schemas.microsoft.com/office/spreadsheetml/2009/9/main" objectType="Drop" dropLines="20" dropStyle="combo" dx="20" fmlaLink="DD_FLU_MICROB_ALLOW_7" fmlaRange="LU_FLU_RECC_PRICES_GROUP_C" noThreeD="1" sel="1" val="0"/>
</file>

<file path=xl/ctrlProps/ctrlProp1420.xml><?xml version="1.0" encoding="utf-8"?>
<formControlPr xmlns="http://schemas.microsoft.com/office/spreadsheetml/2009/9/main" objectType="Drop" dropLines="20" dropStyle="combo" dx="16" fmlaLink="$D$131" fmlaRange="LU_FLU_RECC_PRICES_GROUP_E" noThreeD="1" sel="1" val="0"/>
</file>

<file path=xl/ctrlProps/ctrlProp1421.xml><?xml version="1.0" encoding="utf-8"?>
<formControlPr xmlns="http://schemas.microsoft.com/office/spreadsheetml/2009/9/main" objectType="Drop" dropLines="20" dropStyle="combo" dx="16" fmlaLink="$D$132" fmlaRange="LU_FLU_RECC_PRICES_GROUP_E" noThreeD="1" sel="1" val="0"/>
</file>

<file path=xl/ctrlProps/ctrlProp1422.xml><?xml version="1.0" encoding="utf-8"?>
<formControlPr xmlns="http://schemas.microsoft.com/office/spreadsheetml/2009/9/main" objectType="Drop" dropLines="20" dropStyle="combo" dx="16" fmlaLink="$D$133" fmlaRange="LU_FLU_RECC_PRICES_GROUP_E" noThreeD="1" sel="1" val="0"/>
</file>

<file path=xl/ctrlProps/ctrlProp1423.xml><?xml version="1.0" encoding="utf-8"?>
<formControlPr xmlns="http://schemas.microsoft.com/office/spreadsheetml/2009/9/main" objectType="Drop" dropLines="20" dropStyle="combo" dx="16" fmlaLink="$D$134" fmlaRange="LU_FLU_RECC_PRICES_GROUP_E" noThreeD="1" sel="1" val="0"/>
</file>

<file path=xl/ctrlProps/ctrlProp1424.xml><?xml version="1.0" encoding="utf-8"?>
<formControlPr xmlns="http://schemas.microsoft.com/office/spreadsheetml/2009/9/main" objectType="Drop" dropLines="20" dropStyle="combo" dx="16" fmlaLink="$D$135" fmlaRange="LU_FLU_RECC_PRICES_GROUP_E" noThreeD="1" sel="1" val="0"/>
</file>

<file path=xl/ctrlProps/ctrlProp1425.xml><?xml version="1.0" encoding="utf-8"?>
<formControlPr xmlns="http://schemas.microsoft.com/office/spreadsheetml/2009/9/main" objectType="Drop" dropLines="20" dropStyle="combo" dx="16" fmlaLink="$D$147" fmlaRange="LU_FLU_RECC_PRICES_GROUP_A" noThreeD="1" sel="13" val="0"/>
</file>

<file path=xl/ctrlProps/ctrlProp1426.xml><?xml version="1.0" encoding="utf-8"?>
<formControlPr xmlns="http://schemas.microsoft.com/office/spreadsheetml/2009/9/main" objectType="Drop" dropLines="20" dropStyle="combo" dx="16" fmlaLink="$D$148" fmlaRange="LU_FLU_RECC_PRICES_GROUP_A" noThreeD="1" sel="1" val="0"/>
</file>

<file path=xl/ctrlProps/ctrlProp1427.xml><?xml version="1.0" encoding="utf-8"?>
<formControlPr xmlns="http://schemas.microsoft.com/office/spreadsheetml/2009/9/main" objectType="Drop" dropLines="20" dropStyle="combo" dx="16" fmlaLink="$D$149" fmlaRange="LU_FLU_RECC_PRICES_GROUP_A" noThreeD="1" sel="1" val="0"/>
</file>

<file path=xl/ctrlProps/ctrlProp1428.xml><?xml version="1.0" encoding="utf-8"?>
<formControlPr xmlns="http://schemas.microsoft.com/office/spreadsheetml/2009/9/main" objectType="Drop" dropLines="20" dropStyle="combo" dx="16" fmlaLink="$D$150" fmlaRange="LU_FLU_RECC_PRICES_GROUP_A" noThreeD="1" sel="1" val="0"/>
</file>

<file path=xl/ctrlProps/ctrlProp1429.xml><?xml version="1.0" encoding="utf-8"?>
<formControlPr xmlns="http://schemas.microsoft.com/office/spreadsheetml/2009/9/main" objectType="Drop" dropLines="20" dropStyle="combo" dx="16" fmlaLink="$D$151" fmlaRange="LU_FLU_RECC_PRICES_GROUP_A" noThreeD="1" sel="1" val="0"/>
</file>

<file path=xl/ctrlProps/ctrlProp143.xml><?xml version="1.0" encoding="utf-8"?>
<formControlPr xmlns="http://schemas.microsoft.com/office/spreadsheetml/2009/9/main" objectType="Drop" dropLines="20" dropStyle="combo" dx="20" fmlaLink="DD_FLU_MICROB_ALLOW_8" fmlaRange="LU_FLU_RECC_PRICES_GROUP_C" noThreeD="1" sel="1" val="0"/>
</file>

<file path=xl/ctrlProps/ctrlProp1430.xml><?xml version="1.0" encoding="utf-8"?>
<formControlPr xmlns="http://schemas.microsoft.com/office/spreadsheetml/2009/9/main" objectType="Drop" dropLines="20" dropStyle="combo" dx="16" fmlaLink="$D$152" fmlaRange="LU_FLU_RECC_PRICES_GROUP_A" noThreeD="1" sel="1" val="0"/>
</file>

<file path=xl/ctrlProps/ctrlProp1431.xml><?xml version="1.0" encoding="utf-8"?>
<formControlPr xmlns="http://schemas.microsoft.com/office/spreadsheetml/2009/9/main" objectType="Drop" dropLines="20" dropStyle="combo" dx="16" fmlaLink="$D$153" fmlaRange="LU_FLU_RECC_PRICES_GROUP_A" noThreeD="1" sel="1" val="0"/>
</file>

<file path=xl/ctrlProps/ctrlProp1432.xml><?xml version="1.0" encoding="utf-8"?>
<formControlPr xmlns="http://schemas.microsoft.com/office/spreadsheetml/2009/9/main" objectType="Drop" dropLines="20" dropStyle="combo" dx="16" fmlaLink="$D$154" fmlaRange="LU_FLU_RECC_PRICES_GROUP_A" noThreeD="1" sel="1" val="0"/>
</file>

<file path=xl/ctrlProps/ctrlProp1433.xml><?xml version="1.0" encoding="utf-8"?>
<formControlPr xmlns="http://schemas.microsoft.com/office/spreadsheetml/2009/9/main" objectType="Drop" dropLines="20" dropStyle="combo" dx="16" fmlaLink="$D$155" fmlaRange="LU_FLU_RECC_PRICES_GROUP_A" noThreeD="1" sel="1" val="0"/>
</file>

<file path=xl/ctrlProps/ctrlProp1434.xml><?xml version="1.0" encoding="utf-8"?>
<formControlPr xmlns="http://schemas.microsoft.com/office/spreadsheetml/2009/9/main" objectType="Drop" dropLines="20" dropStyle="combo" dx="16" fmlaLink="$D$156" fmlaRange="LU_FLU_RECC_PRICES_GROUP_A" noThreeD="1" sel="1" val="0"/>
</file>

<file path=xl/ctrlProps/ctrlProp1435.xml><?xml version="1.0" encoding="utf-8"?>
<formControlPr xmlns="http://schemas.microsoft.com/office/spreadsheetml/2009/9/main" objectType="Drop" dropLines="20" dropStyle="combo" dx="16" fmlaLink="$D$157" fmlaRange="LU_FLU_RECC_PRICES_GROUP_A" noThreeD="1" sel="1" val="0"/>
</file>

<file path=xl/ctrlProps/ctrlProp1436.xml><?xml version="1.0" encoding="utf-8"?>
<formControlPr xmlns="http://schemas.microsoft.com/office/spreadsheetml/2009/9/main" objectType="Drop" dropLines="20" dropStyle="combo" dx="16" fmlaLink="$D$158" fmlaRange="LU_FLU_RECC_PRICES_GROUP_A" noThreeD="1" sel="1" val="0"/>
</file>

<file path=xl/ctrlProps/ctrlProp1437.xml><?xml version="1.0" encoding="utf-8"?>
<formControlPr xmlns="http://schemas.microsoft.com/office/spreadsheetml/2009/9/main" objectType="Drop" dropLines="20" dropStyle="combo" dx="16" fmlaLink="$D$159" fmlaRange="LU_FLU_RECC_PRICES_GROUP_A" noThreeD="1" sel="1" val="0"/>
</file>

<file path=xl/ctrlProps/ctrlProp1438.xml><?xml version="1.0" encoding="utf-8"?>
<formControlPr xmlns="http://schemas.microsoft.com/office/spreadsheetml/2009/9/main" objectType="Drop" dropLines="20" dropStyle="combo" dx="16" fmlaLink="$D$160" fmlaRange="LU_FLU_RECC_PRICES_GROUP_A" noThreeD="1" sel="1" val="0"/>
</file>

<file path=xl/ctrlProps/ctrlProp1439.xml><?xml version="1.0" encoding="utf-8"?>
<formControlPr xmlns="http://schemas.microsoft.com/office/spreadsheetml/2009/9/main" objectType="Drop" dropLines="20" dropStyle="combo" dx="16" fmlaLink="$D$161" fmlaRange="LU_FLU_RECC_PRICES_GROUP_A" noThreeD="1" sel="1" val="0"/>
</file>

<file path=xl/ctrlProps/ctrlProp144.xml><?xml version="1.0" encoding="utf-8"?>
<formControlPr xmlns="http://schemas.microsoft.com/office/spreadsheetml/2009/9/main" objectType="Drop" dropLines="20" dropStyle="combo" dx="20" fmlaLink="DD_FLU_MICROB_ALLOW_9" fmlaRange="LU_FLU_RECC_PRICES_GROUP_C" noThreeD="1" sel="1" val="0"/>
</file>

<file path=xl/ctrlProps/ctrlProp1440.xml><?xml version="1.0" encoding="utf-8"?>
<formControlPr xmlns="http://schemas.microsoft.com/office/spreadsheetml/2009/9/main" objectType="Drop" dropLines="20" dropStyle="combo" dx="16" fmlaLink="$D$166" fmlaRange="LU_FLU_RECC_PRICES_GROUP_C" noThreeD="1" sel="1" val="0"/>
</file>

<file path=xl/ctrlProps/ctrlProp1441.xml><?xml version="1.0" encoding="utf-8"?>
<formControlPr xmlns="http://schemas.microsoft.com/office/spreadsheetml/2009/9/main" objectType="Drop" dropLines="20" dropStyle="combo" dx="16" fmlaLink="$D$167" fmlaRange="LU_FLU_RECC_PRICES_GROUP_C" noThreeD="1" sel="1" val="0"/>
</file>

<file path=xl/ctrlProps/ctrlProp1442.xml><?xml version="1.0" encoding="utf-8"?>
<formControlPr xmlns="http://schemas.microsoft.com/office/spreadsheetml/2009/9/main" objectType="Drop" dropLines="20" dropStyle="combo" dx="16" fmlaLink="$D$168" fmlaRange="LU_FLU_RECC_PRICES_GROUP_C" noThreeD="1" sel="1" val="0"/>
</file>

<file path=xl/ctrlProps/ctrlProp1443.xml><?xml version="1.0" encoding="utf-8"?>
<formControlPr xmlns="http://schemas.microsoft.com/office/spreadsheetml/2009/9/main" objectType="Drop" dropLines="20" dropStyle="combo" dx="16" fmlaLink="$D$169" fmlaRange="LU_FLU_RECC_PRICES_GROUP_C" noThreeD="1" sel="1" val="0"/>
</file>

<file path=xl/ctrlProps/ctrlProp1444.xml><?xml version="1.0" encoding="utf-8"?>
<formControlPr xmlns="http://schemas.microsoft.com/office/spreadsheetml/2009/9/main" objectType="Drop" dropLines="20" dropStyle="combo" dx="16" fmlaLink="$D$170" fmlaRange="LU_FLU_RECC_PRICES_GROUP_C" noThreeD="1" sel="1" val="0"/>
</file>

<file path=xl/ctrlProps/ctrlProp1445.xml><?xml version="1.0" encoding="utf-8"?>
<formControlPr xmlns="http://schemas.microsoft.com/office/spreadsheetml/2009/9/main" objectType="Drop" dropLines="20" dropStyle="combo" dx="16" fmlaLink="$D$171" fmlaRange="LU_FLU_RECC_PRICES_GROUP_C" noThreeD="1" sel="1" val="0"/>
</file>

<file path=xl/ctrlProps/ctrlProp1446.xml><?xml version="1.0" encoding="utf-8"?>
<formControlPr xmlns="http://schemas.microsoft.com/office/spreadsheetml/2009/9/main" objectType="Drop" dropLines="20" dropStyle="combo" dx="16" fmlaLink="$D$172" fmlaRange="LU_FLU_RECC_PRICES_GROUP_C" noThreeD="1" sel="1" val="0"/>
</file>

<file path=xl/ctrlProps/ctrlProp1447.xml><?xml version="1.0" encoding="utf-8"?>
<formControlPr xmlns="http://schemas.microsoft.com/office/spreadsheetml/2009/9/main" objectType="Drop" dropLines="20" dropStyle="combo" dx="16" fmlaLink="$D$173" fmlaRange="LU_FLU_RECC_PRICES_GROUP_C" noThreeD="1" sel="1" val="0"/>
</file>

<file path=xl/ctrlProps/ctrlProp1448.xml><?xml version="1.0" encoding="utf-8"?>
<formControlPr xmlns="http://schemas.microsoft.com/office/spreadsheetml/2009/9/main" objectType="Drop" dropLines="20" dropStyle="combo" dx="16" fmlaLink="$D$174" fmlaRange="LU_FLU_RECC_PRICES_GROUP_C" noThreeD="1" sel="1" val="0"/>
</file>

<file path=xl/ctrlProps/ctrlProp1449.xml><?xml version="1.0" encoding="utf-8"?>
<formControlPr xmlns="http://schemas.microsoft.com/office/spreadsheetml/2009/9/main" objectType="Drop" dropLines="20" dropStyle="combo" dx="16" fmlaLink="$D$175" fmlaRange="LU_FLU_RECC_PRICES_GROUP_C" noThreeD="1" sel="1" val="0"/>
</file>

<file path=xl/ctrlProps/ctrlProp145.xml><?xml version="1.0" encoding="utf-8"?>
<formControlPr xmlns="http://schemas.microsoft.com/office/spreadsheetml/2009/9/main" objectType="Drop" dropLines="20" dropStyle="combo" dx="20" fmlaLink="DD_FLU_MICROB_ALLOW_10" fmlaRange="LU_FLU_RECC_PRICES_GROUP_C" noThreeD="1" sel="1" val="0"/>
</file>

<file path=xl/ctrlProps/ctrlProp1450.xml><?xml version="1.0" encoding="utf-8"?>
<formControlPr xmlns="http://schemas.microsoft.com/office/spreadsheetml/2009/9/main" objectType="Drop" dropLines="20" dropStyle="combo" dx="16" fmlaLink="$D$180" fmlaRange="LU_FLU_RECC_PRICES_GROUP_D" noThreeD="1" sel="6" val="0"/>
</file>

<file path=xl/ctrlProps/ctrlProp1451.xml><?xml version="1.0" encoding="utf-8"?>
<formControlPr xmlns="http://schemas.microsoft.com/office/spreadsheetml/2009/9/main" objectType="Drop" dropLines="20" dropStyle="combo" dx="16" fmlaLink="$D$181" fmlaRange="LU_FLU_RECC_PRICES_GROUP_D" noThreeD="1" sel="1" val="0"/>
</file>

<file path=xl/ctrlProps/ctrlProp1452.xml><?xml version="1.0" encoding="utf-8"?>
<formControlPr xmlns="http://schemas.microsoft.com/office/spreadsheetml/2009/9/main" objectType="Drop" dropLines="20" dropStyle="combo" dx="16" fmlaLink="$D$182" fmlaRange="LU_FLU_RECC_PRICES_GROUP_D" noThreeD="1" sel="1" val="0"/>
</file>

<file path=xl/ctrlProps/ctrlProp1453.xml><?xml version="1.0" encoding="utf-8"?>
<formControlPr xmlns="http://schemas.microsoft.com/office/spreadsheetml/2009/9/main" objectType="Drop" dropLines="20" dropStyle="combo" dx="16" fmlaLink="$D$183" fmlaRange="LU_FLU_RECC_PRICES_GROUP_D" noThreeD="1" sel="1" val="0"/>
</file>

<file path=xl/ctrlProps/ctrlProp1454.xml><?xml version="1.0" encoding="utf-8"?>
<formControlPr xmlns="http://schemas.microsoft.com/office/spreadsheetml/2009/9/main" objectType="Drop" dropLines="20" dropStyle="combo" dx="16" fmlaLink="$D$184" fmlaRange="LU_FLU_RECC_PRICES_GROUP_D" noThreeD="1" sel="1" val="0"/>
</file>

<file path=xl/ctrlProps/ctrlProp1455.xml><?xml version="1.0" encoding="utf-8"?>
<formControlPr xmlns="http://schemas.microsoft.com/office/spreadsheetml/2009/9/main" objectType="Drop" dropLines="20" dropStyle="combo" dx="16" fmlaLink="$D$185" fmlaRange="LU_FLU_RECC_PRICES_GROUP_D" noThreeD="1" sel="1" val="0"/>
</file>

<file path=xl/ctrlProps/ctrlProp1456.xml><?xml version="1.0" encoding="utf-8"?>
<formControlPr xmlns="http://schemas.microsoft.com/office/spreadsheetml/2009/9/main" objectType="Drop" dropLines="20" dropStyle="combo" dx="16" fmlaLink="$D$186" fmlaRange="LU_FLU_RECC_PRICES_GROUP_D" noThreeD="1" sel="1" val="0"/>
</file>

<file path=xl/ctrlProps/ctrlProp1457.xml><?xml version="1.0" encoding="utf-8"?>
<formControlPr xmlns="http://schemas.microsoft.com/office/spreadsheetml/2009/9/main" objectType="Drop" dropLines="20" dropStyle="combo" dx="16" fmlaLink="$D$187" fmlaRange="LU_FLU_RECC_PRICES_GROUP_D" noThreeD="1" sel="1" val="0"/>
</file>

<file path=xl/ctrlProps/ctrlProp1458.xml><?xml version="1.0" encoding="utf-8"?>
<formControlPr xmlns="http://schemas.microsoft.com/office/spreadsheetml/2009/9/main" objectType="Drop" dropLines="20" dropStyle="combo" dx="16" fmlaLink="$D$188" fmlaRange="LU_FLU_RECC_PRICES_GROUP_D" noThreeD="1" sel="1" val="0"/>
</file>

<file path=xl/ctrlProps/ctrlProp1459.xml><?xml version="1.0" encoding="utf-8"?>
<formControlPr xmlns="http://schemas.microsoft.com/office/spreadsheetml/2009/9/main" objectType="Drop" dropLines="20" dropStyle="combo" dx="16" fmlaLink="$D$193" fmlaRange="LU_FLU_RECC_PRICES_GROUP_E" noThreeD="1" sel="1" val="0"/>
</file>

<file path=xl/ctrlProps/ctrlProp146.xml><?xml version="1.0" encoding="utf-8"?>
<formControlPr xmlns="http://schemas.microsoft.com/office/spreadsheetml/2009/9/main" objectType="Drop" dropLines="20" dropStyle="combo" dx="20" fmlaLink="DD_FLU_MICROB_ALLOW_11" fmlaRange="LU_FLU_RECC_PRICES_GROUP_C" noThreeD="1" sel="1" val="0"/>
</file>

<file path=xl/ctrlProps/ctrlProp1460.xml><?xml version="1.0" encoding="utf-8"?>
<formControlPr xmlns="http://schemas.microsoft.com/office/spreadsheetml/2009/9/main" objectType="Drop" dropLines="20" dropStyle="combo" dx="16" fmlaLink="$D$194" fmlaRange="LU_FLU_RECC_PRICES_GROUP_E" noThreeD="1" sel="1" val="0"/>
</file>

<file path=xl/ctrlProps/ctrlProp1461.xml><?xml version="1.0" encoding="utf-8"?>
<formControlPr xmlns="http://schemas.microsoft.com/office/spreadsheetml/2009/9/main" objectType="Drop" dropLines="20" dropStyle="combo" dx="16" fmlaLink="$D$195" fmlaRange="LU_FLU_RECC_PRICES_GROUP_E" noThreeD="1" sel="1" val="0"/>
</file>

<file path=xl/ctrlProps/ctrlProp1462.xml><?xml version="1.0" encoding="utf-8"?>
<formControlPr xmlns="http://schemas.microsoft.com/office/spreadsheetml/2009/9/main" objectType="Drop" dropLines="20" dropStyle="combo" dx="16" fmlaLink="$D$196" fmlaRange="LU_FLU_RECC_PRICES_GROUP_E" noThreeD="1" sel="1" val="0"/>
</file>

<file path=xl/ctrlProps/ctrlProp1463.xml><?xml version="1.0" encoding="utf-8"?>
<formControlPr xmlns="http://schemas.microsoft.com/office/spreadsheetml/2009/9/main" objectType="Drop" dropLines="20" dropStyle="combo" dx="16" fmlaLink="$D$197" fmlaRange="LU_FLU_RECC_PRICES_GROUP_E" noThreeD="1" sel="1" val="0"/>
</file>

<file path=xl/ctrlProps/ctrlProp1464.xml><?xml version="1.0" encoding="utf-8"?>
<formControlPr xmlns="http://schemas.microsoft.com/office/spreadsheetml/2009/9/main" objectType="Drop" dropLines="20" dropStyle="combo" dx="16" fmlaLink="$D$198" fmlaRange="LU_FLU_RECC_PRICES_GROUP_E" noThreeD="1" sel="1" val="0"/>
</file>

<file path=xl/ctrlProps/ctrlProp1465.xml><?xml version="1.0" encoding="utf-8"?>
<formControlPr xmlns="http://schemas.microsoft.com/office/spreadsheetml/2009/9/main" objectType="Drop" dropLines="20" dropStyle="combo" dx="16" fmlaLink="$D$199" fmlaRange="LU_FLU_RECC_PRICES_GROUP_E" noThreeD="1" sel="1" val="0"/>
</file>

<file path=xl/ctrlProps/ctrlProp1466.xml><?xml version="1.0" encoding="utf-8"?>
<formControlPr xmlns="http://schemas.microsoft.com/office/spreadsheetml/2009/9/main" objectType="Drop" dropLines="20" dropStyle="combo" dx="16" fmlaLink="$D$200" fmlaRange="LU_FLU_RECC_PRICES_GROUP_E" noThreeD="1" sel="1" val="0"/>
</file>

<file path=xl/ctrlProps/ctrlProp1467.xml><?xml version="1.0" encoding="utf-8"?>
<formControlPr xmlns="http://schemas.microsoft.com/office/spreadsheetml/2009/9/main" objectType="Drop" dropLines="20" dropStyle="combo" dx="16" fmlaLink="$D$201" fmlaRange="LU_FLU_RECC_PRICES_GROUP_E" noThreeD="1" sel="1" val="0"/>
</file>

<file path=xl/ctrlProps/ctrlProp1468.xml><?xml version="1.0" encoding="utf-8"?>
<formControlPr xmlns="http://schemas.microsoft.com/office/spreadsheetml/2009/9/main" objectType="Drop" dropLines="20" dropStyle="combo" dx="16" fmlaLink="$D$212" fmlaRange="LU_FLU_CAP_PRICES_GROUP_A" noThreeD="1" sel="2" val="0"/>
</file>

<file path=xl/ctrlProps/ctrlProp1469.xml><?xml version="1.0" encoding="utf-8"?>
<formControlPr xmlns="http://schemas.microsoft.com/office/spreadsheetml/2009/9/main" objectType="Drop" dropLines="20" dropStyle="combo" dx="16" fmlaLink="$D$213" fmlaRange="LU_FLU_CAP_PRICES_GROUP_A" noThreeD="1" sel="3" val="0"/>
</file>

<file path=xl/ctrlProps/ctrlProp147.xml><?xml version="1.0" encoding="utf-8"?>
<formControlPr xmlns="http://schemas.microsoft.com/office/spreadsheetml/2009/9/main" objectType="Drop" dropLines="20" dropStyle="combo" dx="20" fmlaLink="DD_FLU_MICROB_ALLOW_12" fmlaRange="LU_FLU_RECC_PRICES_GROUP_C" noThreeD="1" sel="1" val="0"/>
</file>

<file path=xl/ctrlProps/ctrlProp1470.xml><?xml version="1.0" encoding="utf-8"?>
<formControlPr xmlns="http://schemas.microsoft.com/office/spreadsheetml/2009/9/main" objectType="Drop" dropLines="20" dropStyle="combo" dx="16" fmlaLink="$D$214" fmlaRange="LU_FLU_CAP_PRICES_GROUP_A" noThreeD="1" sel="1" val="0"/>
</file>

<file path=xl/ctrlProps/ctrlProp1471.xml><?xml version="1.0" encoding="utf-8"?>
<formControlPr xmlns="http://schemas.microsoft.com/office/spreadsheetml/2009/9/main" objectType="Drop" dropLines="20" dropStyle="combo" dx="16" fmlaLink="$D$215" fmlaRange="LU_FLU_CAP_PRICES_GROUP_A" noThreeD="1" sel="1" val="0"/>
</file>

<file path=xl/ctrlProps/ctrlProp1472.xml><?xml version="1.0" encoding="utf-8"?>
<formControlPr xmlns="http://schemas.microsoft.com/office/spreadsheetml/2009/9/main" objectType="Drop" dropLines="20" dropStyle="combo" dx="16" fmlaLink="$D$216" fmlaRange="LU_FLU_CAP_PRICES_GROUP_A" noThreeD="1" sel="1" val="0"/>
</file>

<file path=xl/ctrlProps/ctrlProp1473.xml><?xml version="1.0" encoding="utf-8"?>
<formControlPr xmlns="http://schemas.microsoft.com/office/spreadsheetml/2009/9/main" objectType="Drop" dropLines="20" dropStyle="combo" dx="16" fmlaLink="$D$217" fmlaRange="LU_FLU_CAP_PRICES_GROUP_A" noThreeD="1" sel="1" val="0"/>
</file>

<file path=xl/ctrlProps/ctrlProp1474.xml><?xml version="1.0" encoding="utf-8"?>
<formControlPr xmlns="http://schemas.microsoft.com/office/spreadsheetml/2009/9/main" objectType="Drop" dropLines="20" dropStyle="combo" dx="16" fmlaLink="$I$81" fmlaRange="LU_FLU_Personnel_Unit_Cost_Categories" noThreeD="1" sel="1" val="0"/>
</file>

<file path=xl/ctrlProps/ctrlProp1475.xml><?xml version="1.0" encoding="utf-8"?>
<formControlPr xmlns="http://schemas.microsoft.com/office/spreadsheetml/2009/9/main" objectType="Drop" dropLines="20" dropStyle="combo" dx="16" fmlaLink="$I$82" fmlaRange="LU_FLU_Personnel_Unit_Cost_Categories" noThreeD="1" sel="1" val="0"/>
</file>

<file path=xl/ctrlProps/ctrlProp1476.xml><?xml version="1.0" encoding="utf-8"?>
<formControlPr xmlns="http://schemas.microsoft.com/office/spreadsheetml/2009/9/main" objectType="Drop" dropLines="20" dropStyle="combo" dx="16" fmlaLink="$I$83" fmlaRange="LU_FLU_Personnel_Unit_Cost_Categories" noThreeD="1" sel="1" val="0"/>
</file>

<file path=xl/ctrlProps/ctrlProp1477.xml><?xml version="1.0" encoding="utf-8"?>
<formControlPr xmlns="http://schemas.microsoft.com/office/spreadsheetml/2009/9/main" objectType="Drop" dropLines="20" dropStyle="combo" dx="16" fmlaLink="$I$84" fmlaRange="LU_FLU_Personnel_Unit_Cost_Categories" noThreeD="1" sel="1" val="0"/>
</file>

<file path=xl/ctrlProps/ctrlProp1478.xml><?xml version="1.0" encoding="utf-8"?>
<formControlPr xmlns="http://schemas.microsoft.com/office/spreadsheetml/2009/9/main" objectType="Drop" dropLines="20" dropStyle="combo" dx="16" fmlaLink="$I$85" fmlaRange="LU_FLU_Personnel_Unit_Cost_Categories" noThreeD="1" sel="1" val="0"/>
</file>

<file path=xl/ctrlProps/ctrlProp1479.xml><?xml version="1.0" encoding="utf-8"?>
<formControlPr xmlns="http://schemas.microsoft.com/office/spreadsheetml/2009/9/main" objectType="Drop" dropLines="20" dropStyle="combo" dx="16" fmlaLink="$I$86" fmlaRange="LU_FLU_Personnel_Unit_Cost_Categories" noThreeD="1" sel="1" val="0"/>
</file>

<file path=xl/ctrlProps/ctrlProp148.xml><?xml version="1.0" encoding="utf-8"?>
<formControlPr xmlns="http://schemas.microsoft.com/office/spreadsheetml/2009/9/main" objectType="Drop" dropLines="20" dropStyle="combo" dx="20" fmlaLink="DD_FLU_MICROB_ALLOW_13" fmlaRange="LU_FLU_RECC_PRICES_GROUP_C" noThreeD="1" sel="1" val="0"/>
</file>

<file path=xl/ctrlProps/ctrlProp1480.xml><?xml version="1.0" encoding="utf-8"?>
<formControlPr xmlns="http://schemas.microsoft.com/office/spreadsheetml/2009/9/main" objectType="Drop" dropLines="20" dropStyle="combo" dx="16" fmlaLink="$I$87" fmlaRange="LU_FLU_Personnel_Unit_Cost_Categories" noThreeD="1" sel="1" val="0"/>
</file>

<file path=xl/ctrlProps/ctrlProp1481.xml><?xml version="1.0" encoding="utf-8"?>
<formControlPr xmlns="http://schemas.microsoft.com/office/spreadsheetml/2009/9/main" objectType="Drop" dropLines="20" dropStyle="combo" dx="16" fmlaLink="$I$88" fmlaRange="LU_FLU_Personnel_Unit_Cost_Categories" noThreeD="1" sel="1" val="0"/>
</file>

<file path=xl/ctrlProps/ctrlProp1482.xml><?xml version="1.0" encoding="utf-8"?>
<formControlPr xmlns="http://schemas.microsoft.com/office/spreadsheetml/2009/9/main" objectType="Drop" dropLines="20" dropStyle="combo" dx="16" fmlaLink="$I$89" fmlaRange="LU_FLU_Personnel_Unit_Cost_Categories" noThreeD="1" sel="1" val="0"/>
</file>

<file path=xl/ctrlProps/ctrlProp1483.xml><?xml version="1.0" encoding="utf-8"?>
<formControlPr xmlns="http://schemas.microsoft.com/office/spreadsheetml/2009/9/main" objectType="Drop" dropLines="20" dropStyle="combo" dx="16" fmlaLink="$I$90" fmlaRange="LU_FLU_Personnel_Unit_Cost_Categories" noThreeD="1" sel="1" val="0"/>
</file>

<file path=xl/ctrlProps/ctrlProp1484.xml><?xml version="1.0" encoding="utf-8"?>
<formControlPr xmlns="http://schemas.microsoft.com/office/spreadsheetml/2009/9/main" objectType="Drop" dropLines="20" dropStyle="combo" dx="16" fmlaLink="$I$91" fmlaRange="LU_FLU_Personnel_Unit_Cost_Categories" noThreeD="1" sel="1" val="0"/>
</file>

<file path=xl/ctrlProps/ctrlProp1485.xml><?xml version="1.0" encoding="utf-8"?>
<formControlPr xmlns="http://schemas.microsoft.com/office/spreadsheetml/2009/9/main" objectType="Drop" dropLines="20" dropStyle="combo" dx="16" fmlaLink="$I$92" fmlaRange="LU_FLU_Personnel_Unit_Cost_Categories" noThreeD="1" sel="1" val="0"/>
</file>

<file path=xl/ctrlProps/ctrlProp1486.xml><?xml version="1.0" encoding="utf-8"?>
<formControlPr xmlns="http://schemas.microsoft.com/office/spreadsheetml/2009/9/main" objectType="Drop" dropLines="20" dropStyle="combo" dx="16" fmlaLink="$I$93" fmlaRange="LU_FLU_Personnel_Unit_Cost_Categories" noThreeD="1" sel="1" val="0"/>
</file>

<file path=xl/ctrlProps/ctrlProp1487.xml><?xml version="1.0" encoding="utf-8"?>
<formControlPr xmlns="http://schemas.microsoft.com/office/spreadsheetml/2009/9/main" objectType="Drop" dropLines="20" dropStyle="combo" dx="16" fmlaLink="$I$94" fmlaRange="LU_FLU_Personnel_Unit_Cost_Categories" noThreeD="1" sel="1" val="0"/>
</file>

<file path=xl/ctrlProps/ctrlProp1488.xml><?xml version="1.0" encoding="utf-8"?>
<formControlPr xmlns="http://schemas.microsoft.com/office/spreadsheetml/2009/9/main" objectType="Drop" dropLines="20" dropStyle="combo" dx="16" fmlaLink="$I$95" fmlaRange="LU_FLU_Personnel_Unit_Cost_Categories" noThreeD="1" sel="1" val="0"/>
</file>

<file path=xl/ctrlProps/ctrlProp1489.xml><?xml version="1.0" encoding="utf-8"?>
<formControlPr xmlns="http://schemas.microsoft.com/office/spreadsheetml/2009/9/main" objectType="Drop" dropLines="20" dropStyle="combo" dx="16" fmlaLink="$I$147" fmlaRange="LU_FLU_Personnel_Unit_Cost_Categories" noThreeD="1" sel="1" val="0"/>
</file>

<file path=xl/ctrlProps/ctrlProp149.xml><?xml version="1.0" encoding="utf-8"?>
<formControlPr xmlns="http://schemas.microsoft.com/office/spreadsheetml/2009/9/main" objectType="Drop" dropLines="20" dropStyle="combo" dx="20" fmlaLink="DD_FLU_MICROB_ALLOW_14" fmlaRange="LU_FLU_RECC_PRICES_GROUP_C" noThreeD="1" sel="1" val="0"/>
</file>

<file path=xl/ctrlProps/ctrlProp1490.xml><?xml version="1.0" encoding="utf-8"?>
<formControlPr xmlns="http://schemas.microsoft.com/office/spreadsheetml/2009/9/main" objectType="Drop" dropLines="20" dropStyle="combo" dx="16" fmlaLink="$I$148" fmlaRange="LU_FLU_Personnel_Unit_Cost_Categories" noThreeD="1" sel="1" val="0"/>
</file>

<file path=xl/ctrlProps/ctrlProp1491.xml><?xml version="1.0" encoding="utf-8"?>
<formControlPr xmlns="http://schemas.microsoft.com/office/spreadsheetml/2009/9/main" objectType="Drop" dropLines="20" dropStyle="combo" dx="16" fmlaLink="$I$149" fmlaRange="LU_FLU_Personnel_Unit_Cost_Categories" noThreeD="1" sel="1" val="0"/>
</file>

<file path=xl/ctrlProps/ctrlProp1492.xml><?xml version="1.0" encoding="utf-8"?>
<formControlPr xmlns="http://schemas.microsoft.com/office/spreadsheetml/2009/9/main" objectType="Drop" dropLines="20" dropStyle="combo" dx="16" fmlaLink="$I$150" fmlaRange="LU_FLU_Personnel_Unit_Cost_Categories" noThreeD="1" sel="1" val="0"/>
</file>

<file path=xl/ctrlProps/ctrlProp1493.xml><?xml version="1.0" encoding="utf-8"?>
<formControlPr xmlns="http://schemas.microsoft.com/office/spreadsheetml/2009/9/main" objectType="Drop" dropLines="20" dropStyle="combo" dx="16" fmlaLink="$I$151" fmlaRange="LU_FLU_Personnel_Unit_Cost_Categories" noThreeD="1" sel="1" val="0"/>
</file>

<file path=xl/ctrlProps/ctrlProp1494.xml><?xml version="1.0" encoding="utf-8"?>
<formControlPr xmlns="http://schemas.microsoft.com/office/spreadsheetml/2009/9/main" objectType="Drop" dropLines="20" dropStyle="combo" dx="16" fmlaLink="$I$152" fmlaRange="LU_FLU_Personnel_Unit_Cost_Categories" noThreeD="1" sel="1" val="0"/>
</file>

<file path=xl/ctrlProps/ctrlProp1495.xml><?xml version="1.0" encoding="utf-8"?>
<formControlPr xmlns="http://schemas.microsoft.com/office/spreadsheetml/2009/9/main" objectType="Drop" dropLines="20" dropStyle="combo" dx="16" fmlaLink="$I$153" fmlaRange="LU_FLU_Personnel_Unit_Cost_Categories" noThreeD="1" sel="1" val="0"/>
</file>

<file path=xl/ctrlProps/ctrlProp1496.xml><?xml version="1.0" encoding="utf-8"?>
<formControlPr xmlns="http://schemas.microsoft.com/office/spreadsheetml/2009/9/main" objectType="Drop" dropLines="20" dropStyle="combo" dx="16" fmlaLink="$I$154" fmlaRange="LU_FLU_Personnel_Unit_Cost_Categories" noThreeD="1" sel="1" val="0"/>
</file>

<file path=xl/ctrlProps/ctrlProp1497.xml><?xml version="1.0" encoding="utf-8"?>
<formControlPr xmlns="http://schemas.microsoft.com/office/spreadsheetml/2009/9/main" objectType="Drop" dropLines="20" dropStyle="combo" dx="16" fmlaLink="$I$155" fmlaRange="LU_FLU_Personnel_Unit_Cost_Categories" noThreeD="1" sel="1" val="0"/>
</file>

<file path=xl/ctrlProps/ctrlProp1498.xml><?xml version="1.0" encoding="utf-8"?>
<formControlPr xmlns="http://schemas.microsoft.com/office/spreadsheetml/2009/9/main" objectType="Drop" dropLines="20" dropStyle="combo" dx="16" fmlaLink="$I$156" fmlaRange="LU_FLU_Personnel_Unit_Cost_Categories" noThreeD="1" sel="1" val="0"/>
</file>

<file path=xl/ctrlProps/ctrlProp1499.xml><?xml version="1.0" encoding="utf-8"?>
<formControlPr xmlns="http://schemas.microsoft.com/office/spreadsheetml/2009/9/main" objectType="Drop" dropLines="20" dropStyle="combo" dx="16" fmlaLink="$I$157" fmlaRange="LU_FLU_Personnel_Unit_Cost_Categories" noThreeD="1" sel="1" val="0"/>
</file>

<file path=xl/ctrlProps/ctrlProp15.xml><?xml version="1.0" encoding="utf-8"?>
<formControlPr xmlns="http://schemas.microsoft.com/office/spreadsheetml/2009/9/main" objectType="Drop" dropLines="20" dropStyle="combo" dx="16" fmlaLink="$G$27" fmlaRange="LU_FLU_Curr_Code" noThreeD="1" sel="2" val="0"/>
</file>

<file path=xl/ctrlProps/ctrlProp150.xml><?xml version="1.0" encoding="utf-8"?>
<formControlPr xmlns="http://schemas.microsoft.com/office/spreadsheetml/2009/9/main" objectType="Drop" dropLines="20" dropStyle="combo" dx="20" fmlaLink="DD_FLU_MICROB_SUPP_1" fmlaRange="LU_FLU_RECC_PRICES_GROUP_D" noThreeD="1" sel="1" val="0"/>
</file>

<file path=xl/ctrlProps/ctrlProp1500.xml><?xml version="1.0" encoding="utf-8"?>
<formControlPr xmlns="http://schemas.microsoft.com/office/spreadsheetml/2009/9/main" objectType="Drop" dropLines="20" dropStyle="combo" dx="16" fmlaLink="$I$158" fmlaRange="LU_FLU_Personnel_Unit_Cost_Categories" noThreeD="1" sel="1" val="0"/>
</file>

<file path=xl/ctrlProps/ctrlProp1501.xml><?xml version="1.0" encoding="utf-8"?>
<formControlPr xmlns="http://schemas.microsoft.com/office/spreadsheetml/2009/9/main" objectType="Drop" dropLines="20" dropStyle="combo" dx="16" fmlaLink="$I$159" fmlaRange="LU_FLU_Personnel_Unit_Cost_Categories" noThreeD="1" sel="1" val="0"/>
</file>

<file path=xl/ctrlProps/ctrlProp1502.xml><?xml version="1.0" encoding="utf-8"?>
<formControlPr xmlns="http://schemas.microsoft.com/office/spreadsheetml/2009/9/main" objectType="Drop" dropLines="20" dropStyle="combo" dx="16" fmlaLink="$I$160" fmlaRange="LU_FLU_Personnel_Unit_Cost_Categories" noThreeD="1" sel="1" val="0"/>
</file>

<file path=xl/ctrlProps/ctrlProp1503.xml><?xml version="1.0" encoding="utf-8"?>
<formControlPr xmlns="http://schemas.microsoft.com/office/spreadsheetml/2009/9/main" objectType="Drop" dropLines="20" dropStyle="combo" dx="16" fmlaLink="$I$161" fmlaRange="LU_FLU_Personnel_Unit_Cost_Categories" noThreeD="1" sel="1" val="0"/>
</file>

<file path=xl/ctrlProps/ctrlProp1504.xml><?xml version="1.0" encoding="utf-8"?>
<formControlPr xmlns="http://schemas.microsoft.com/office/spreadsheetml/2009/9/main" objectType="Drop" dropLines="20" dropStyle="combo" dx="16" fmlaLink="$D$226" fmlaRange="LU_FLU_CAP_PRICES_GROUP_B" noThreeD="1" sel="2" val="0"/>
</file>

<file path=xl/ctrlProps/ctrlProp1505.xml><?xml version="1.0" encoding="utf-8"?>
<formControlPr xmlns="http://schemas.microsoft.com/office/spreadsheetml/2009/9/main" objectType="Drop" dropLines="20" dropStyle="combo" dx="16" fmlaLink="$D$227" fmlaRange="LU_FLU_CAP_PRICES_GROUP_B" noThreeD="1" sel="1" val="0"/>
</file>

<file path=xl/ctrlProps/ctrlProp1506.xml><?xml version="1.0" encoding="utf-8"?>
<formControlPr xmlns="http://schemas.microsoft.com/office/spreadsheetml/2009/9/main" objectType="Drop" dropLines="20" dropStyle="combo" dx="16" fmlaLink="$D$228" fmlaRange="LU_FLU_CAP_PRICES_GROUP_B" noThreeD="1" sel="1" val="0"/>
</file>

<file path=xl/ctrlProps/ctrlProp1507.xml><?xml version="1.0" encoding="utf-8"?>
<formControlPr xmlns="http://schemas.microsoft.com/office/spreadsheetml/2009/9/main" objectType="Drop" dropLines="20" dropStyle="combo" dx="16" fmlaLink="$D$229" fmlaRange="LU_FLU_CAP_PRICES_GROUP_B" noThreeD="1" sel="1" val="0"/>
</file>

<file path=xl/ctrlProps/ctrlProp1508.xml><?xml version="1.0" encoding="utf-8"?>
<formControlPr xmlns="http://schemas.microsoft.com/office/spreadsheetml/2009/9/main" objectType="Drop" dropLines="20" dropStyle="combo" dx="16" fmlaLink="$D$230" fmlaRange="LU_FLU_CAP_PRICES_GROUP_B" noThreeD="1" sel="1" val="0"/>
</file>

<file path=xl/ctrlProps/ctrlProp1509.xml><?xml version="1.0" encoding="utf-8"?>
<formControlPr xmlns="http://schemas.microsoft.com/office/spreadsheetml/2009/9/main" objectType="Drop" dropLines="20" dropStyle="combo" dx="16" fmlaLink="$D$231" fmlaRange="LU_FLU_CAP_PRICES_GROUP_B" noThreeD="1" sel="1" val="0"/>
</file>

<file path=xl/ctrlProps/ctrlProp151.xml><?xml version="1.0" encoding="utf-8"?>
<formControlPr xmlns="http://schemas.microsoft.com/office/spreadsheetml/2009/9/main" objectType="Drop" dropLines="20" dropStyle="combo" dx="20" fmlaLink="DD_FLU_MICROB_SUPP_2" fmlaRange="LU_FLU_RECC_PRICES_GROUP_D" noThreeD="1" sel="3" val="0"/>
</file>

<file path=xl/ctrlProps/ctrlProp1510.xml><?xml version="1.0" encoding="utf-8"?>
<formControlPr xmlns="http://schemas.microsoft.com/office/spreadsheetml/2009/9/main" objectType="Drop" dropLines="20" dropStyle="combo" dx="16" fmlaLink="$D$239" fmlaRange="LU_FLU_CAP_PRICES_GROUP_D" noThreeD="1" sel="2" val="0"/>
</file>

<file path=xl/ctrlProps/ctrlProp1511.xml><?xml version="1.0" encoding="utf-8"?>
<formControlPr xmlns="http://schemas.microsoft.com/office/spreadsheetml/2009/9/main" objectType="Drop" dropLines="20" dropStyle="combo" dx="16" fmlaLink="$D$240" fmlaRange="LU_FLU_CAP_PRICES_GROUP_D" noThreeD="1" sel="1" val="0"/>
</file>

<file path=xl/ctrlProps/ctrlProp1512.xml><?xml version="1.0" encoding="utf-8"?>
<formControlPr xmlns="http://schemas.microsoft.com/office/spreadsheetml/2009/9/main" objectType="Drop" dropLines="20" dropStyle="combo" dx="16" fmlaLink="$D$241" fmlaRange="LU_FLU_CAP_PRICES_GROUP_D" noThreeD="1" sel="1" val="0"/>
</file>

<file path=xl/ctrlProps/ctrlProp1513.xml><?xml version="1.0" encoding="utf-8"?>
<formControlPr xmlns="http://schemas.microsoft.com/office/spreadsheetml/2009/9/main" objectType="Drop" dropLines="20" dropStyle="combo" dx="16" fmlaLink="$D$242" fmlaRange="LU_FLU_CAP_PRICES_GROUP_D" noThreeD="1" sel="1" val="0"/>
</file>

<file path=xl/ctrlProps/ctrlProp1514.xml><?xml version="1.0" encoding="utf-8"?>
<formControlPr xmlns="http://schemas.microsoft.com/office/spreadsheetml/2009/9/main" objectType="Drop" dropLines="20" dropStyle="combo" dx="16" fmlaLink="$D$243" fmlaRange="LU_FLU_CAP_PRICES_GROUP_D" noThreeD="1" sel="1" val="0"/>
</file>

<file path=xl/ctrlProps/ctrlProp1515.xml><?xml version="1.0" encoding="utf-8"?>
<formControlPr xmlns="http://schemas.microsoft.com/office/spreadsheetml/2009/9/main" objectType="Drop" dropLines="20" dropStyle="combo" dx="16" fmlaLink="$D$244" fmlaRange="LU_FLU_CAP_PRICES_GROUP_D" noThreeD="1" sel="1" val="0"/>
</file>

<file path=xl/ctrlProps/ctrlProp1516.xml><?xml version="1.0" encoding="utf-8"?>
<formControlPr xmlns="http://schemas.microsoft.com/office/spreadsheetml/2009/9/main" objectType="Drop" dropLines="20" dropStyle="combo" dx="16" fmlaLink="DD_FLU_CAP_GROUPA_1" fmlaRange="LU_FLU_Curr_Code" noThreeD="1" sel="1" val="0"/>
</file>

<file path=xl/ctrlProps/ctrlProp1517.xml><?xml version="1.0" encoding="utf-8"?>
<formControlPr xmlns="http://schemas.microsoft.com/office/spreadsheetml/2009/9/main" objectType="Drop" dropLines="20" dropStyle="combo" dx="16" fmlaLink="DD_FLU_CAP_GROUPA_3" fmlaRange="LU_FLU_Curr_Code" noThreeD="1" sel="1" val="0"/>
</file>

<file path=xl/ctrlProps/ctrlProp1518.xml><?xml version="1.0" encoding="utf-8"?>
<formControlPr xmlns="http://schemas.microsoft.com/office/spreadsheetml/2009/9/main" objectType="Drop" dropLines="20" dropStyle="combo" dx="16" fmlaLink="DD_FLU_CAP_GROUPA_4" fmlaRange="LU_FLU_Curr_Code" noThreeD="1" sel="1" val="0"/>
</file>

<file path=xl/ctrlProps/ctrlProp1519.xml><?xml version="1.0" encoding="utf-8"?>
<formControlPr xmlns="http://schemas.microsoft.com/office/spreadsheetml/2009/9/main" objectType="Drop" dropLines="20" dropStyle="combo" dx="16" fmlaLink="DD_FLU_CAP_GROUPA_5" fmlaRange="LU_FLU_Curr_Code" noThreeD="1" sel="1" val="0"/>
</file>

<file path=xl/ctrlProps/ctrlProp152.xml><?xml version="1.0" encoding="utf-8"?>
<formControlPr xmlns="http://schemas.microsoft.com/office/spreadsheetml/2009/9/main" objectType="Drop" dropLines="20" dropStyle="combo" dx="20" fmlaLink="DD_FLU_MICROB_SUPP_3" fmlaRange="LU_FLU_RECC_PRICES_GROUP_D" noThreeD="1" sel="1" val="0"/>
</file>

<file path=xl/ctrlProps/ctrlProp1520.xml><?xml version="1.0" encoding="utf-8"?>
<formControlPr xmlns="http://schemas.microsoft.com/office/spreadsheetml/2009/9/main" objectType="Drop" dropLines="20" dropStyle="combo" dx="16" fmlaLink="DD_FLU_CAP_GROUPA_6" fmlaRange="LU_FLU_Curr_Code" noThreeD="1" sel="1" val="0"/>
</file>

<file path=xl/ctrlProps/ctrlProp1521.xml><?xml version="1.0" encoding="utf-8"?>
<formControlPr xmlns="http://schemas.microsoft.com/office/spreadsheetml/2009/9/main" objectType="Drop" dropLines="20" dropStyle="combo" dx="16" fmlaLink="DD_FLU_CAP_PRICES_GROUPB_1" fmlaRange="LU_FLU_Curr_Code" noThreeD="1" sel="1" val="0"/>
</file>

<file path=xl/ctrlProps/ctrlProp1522.xml><?xml version="1.0" encoding="utf-8"?>
<formControlPr xmlns="http://schemas.microsoft.com/office/spreadsheetml/2009/9/main" objectType="Drop" dropLines="20" dropStyle="combo" dx="16" fmlaLink="DD_FLU_CAP_PRICES_GROUPB_3" fmlaRange="LU_FLU_Curr_Code" noThreeD="1" sel="1" val="0"/>
</file>

<file path=xl/ctrlProps/ctrlProp1523.xml><?xml version="1.0" encoding="utf-8"?>
<formControlPr xmlns="http://schemas.microsoft.com/office/spreadsheetml/2009/9/main" objectType="Drop" dropLines="20" dropStyle="combo" dx="16" fmlaLink="DD_FLU_CAP_PRICES_GROUPB_4" fmlaRange="LU_FLU_Curr_Code" noThreeD="1" sel="1" val="0"/>
</file>

<file path=xl/ctrlProps/ctrlProp1524.xml><?xml version="1.0" encoding="utf-8"?>
<formControlPr xmlns="http://schemas.microsoft.com/office/spreadsheetml/2009/9/main" objectType="Drop" dropLines="20" dropStyle="combo" dx="16" fmlaLink="DD_FLU_CAP_PRICES_GROUPB_5" fmlaRange="LU_FLU_Curr_Code" noThreeD="1" sel="1" val="0"/>
</file>

<file path=xl/ctrlProps/ctrlProp1525.xml><?xml version="1.0" encoding="utf-8"?>
<formControlPr xmlns="http://schemas.microsoft.com/office/spreadsheetml/2009/9/main" objectType="Drop" dropLines="20" dropStyle="combo" dx="16" fmlaLink="DD_FLU_CAP_PRICES_GROUPB_6" fmlaRange="LU_FLU_Curr_Code" noThreeD="1" sel="1" val="0"/>
</file>

<file path=xl/ctrlProps/ctrlProp1526.xml><?xml version="1.0" encoding="utf-8"?>
<formControlPr xmlns="http://schemas.microsoft.com/office/spreadsheetml/2009/9/main" objectType="Drop" dropLines="20" dropStyle="combo" dx="16" fmlaLink="DD_FLU_CAP_PRICES_GROUPB_7" fmlaRange="LU_FLU_Curr_Code" noThreeD="1" sel="1" val="0"/>
</file>

<file path=xl/ctrlProps/ctrlProp1527.xml><?xml version="1.0" encoding="utf-8"?>
<formControlPr xmlns="http://schemas.microsoft.com/office/spreadsheetml/2009/9/main" objectType="Drop" dropLines="20" dropStyle="combo" dx="16" fmlaLink="DD_FLU_CAP_PRICES_GROUP_C_1" fmlaRange="LU_FLU_Curr_Code" noThreeD="1" sel="1" val="0"/>
</file>

<file path=xl/ctrlProps/ctrlProp1528.xml><?xml version="1.0" encoding="utf-8"?>
<formControlPr xmlns="http://schemas.microsoft.com/office/spreadsheetml/2009/9/main" objectType="Drop" dropLines="20" dropStyle="combo" dx="16" fmlaLink="DD_FLU_CAP_PRICES_GROUP_C_3" fmlaRange="LU_FLU_Curr_Code" noThreeD="1" sel="1" val="0"/>
</file>

<file path=xl/ctrlProps/ctrlProp1529.xml><?xml version="1.0" encoding="utf-8"?>
<formControlPr xmlns="http://schemas.microsoft.com/office/spreadsheetml/2009/9/main" objectType="Drop" dropLines="20" dropStyle="combo" dx="16" fmlaLink="DD_FLU_CAP_PRICES_GROUP_C_4" fmlaRange="LU_FLU_Curr_Code" noThreeD="1" sel="1" val="0"/>
</file>

<file path=xl/ctrlProps/ctrlProp153.xml><?xml version="1.0" encoding="utf-8"?>
<formControlPr xmlns="http://schemas.microsoft.com/office/spreadsheetml/2009/9/main" objectType="Drop" dropLines="20" dropStyle="combo" dx="20" fmlaLink="DD_FLU_MICROB_SUPP_4" fmlaRange="LU_FLU_RECC_PRICES_GROUP_D" noThreeD="1" sel="1" val="0"/>
</file>

<file path=xl/ctrlProps/ctrlProp1530.xml><?xml version="1.0" encoding="utf-8"?>
<formControlPr xmlns="http://schemas.microsoft.com/office/spreadsheetml/2009/9/main" objectType="Drop" dropLines="20" dropStyle="combo" dx="16" fmlaLink="DD_FLU_CAP_PRICES_GROUP_C_5" fmlaRange="LU_FLU_Curr_Code" noThreeD="1" sel="1" val="0"/>
</file>

<file path=xl/ctrlProps/ctrlProp1531.xml><?xml version="1.0" encoding="utf-8"?>
<formControlPr xmlns="http://schemas.microsoft.com/office/spreadsheetml/2009/9/main" objectType="Drop" dropLines="20" dropStyle="combo" dx="16" fmlaLink="DD_FLU_CAP_PRICES_GROUP_C_6" fmlaRange="LU_FLU_Curr_Code" noThreeD="1" sel="1" val="0"/>
</file>

<file path=xl/ctrlProps/ctrlProp1532.xml><?xml version="1.0" encoding="utf-8"?>
<formControlPr xmlns="http://schemas.microsoft.com/office/spreadsheetml/2009/9/main" objectType="Drop" dropLines="20" dropStyle="combo" dx="16" fmlaLink="DD_FLU_CAP_PRICES_GROUP_D_1" fmlaRange="LU_FLU_Curr_Code" noThreeD="1" sel="1" val="0"/>
</file>

<file path=xl/ctrlProps/ctrlProp1533.xml><?xml version="1.0" encoding="utf-8"?>
<formControlPr xmlns="http://schemas.microsoft.com/office/spreadsheetml/2009/9/main" objectType="Drop" dropLines="20" dropStyle="combo" dx="16" fmlaLink="DD_FLU_CAP_PRICES_GROUP_D_2" fmlaRange="LU_FLU_Curr_Code" noThreeD="1" sel="1" val="0"/>
</file>

<file path=xl/ctrlProps/ctrlProp1534.xml><?xml version="1.0" encoding="utf-8"?>
<formControlPr xmlns="http://schemas.microsoft.com/office/spreadsheetml/2009/9/main" objectType="Drop" dropLines="20" dropStyle="combo" dx="16" fmlaLink="DD_FLU_CAP_PRICES_GROUP_D_3" fmlaRange="LU_FLU_Curr_Code" noThreeD="1" sel="1" val="0"/>
</file>

<file path=xl/ctrlProps/ctrlProp1535.xml><?xml version="1.0" encoding="utf-8"?>
<formControlPr xmlns="http://schemas.microsoft.com/office/spreadsheetml/2009/9/main" objectType="Drop" dropLines="20" dropStyle="combo" dx="16" fmlaLink="DD_FLU_CAP_PRICES_GROUP_D_4" fmlaRange="LU_FLU_Curr_Code" noThreeD="1" sel="1" val="0"/>
</file>

<file path=xl/ctrlProps/ctrlProp1536.xml><?xml version="1.0" encoding="utf-8"?>
<formControlPr xmlns="http://schemas.microsoft.com/office/spreadsheetml/2009/9/main" objectType="Drop" dropLines="20" dropStyle="combo" dx="16" fmlaLink="DD_FLU_CAP_PRICES_GROUP_D_5" fmlaRange="LU_FLU_Curr_Code" noThreeD="1" sel="1" val="0"/>
</file>

<file path=xl/ctrlProps/ctrlProp1537.xml><?xml version="1.0" encoding="utf-8"?>
<formControlPr xmlns="http://schemas.microsoft.com/office/spreadsheetml/2009/9/main" objectType="Drop" dropLines="20" dropStyle="combo" dx="16" fmlaLink="DD_FLU_CAP_GROUPA_2" fmlaRange="LU_FLU_Curr_Code" noThreeD="1" sel="1" val="0"/>
</file>

<file path=xl/ctrlProps/ctrlProp1538.xml><?xml version="1.0" encoding="utf-8"?>
<formControlPr xmlns="http://schemas.microsoft.com/office/spreadsheetml/2009/9/main" objectType="Drop" dropLines="20" dropStyle="combo" dx="16" fmlaLink="DD_FLU_CAP_PRICES_GROUP_C_2" fmlaRange="LU_FLU_Curr_Code" noThreeD="1" sel="1" val="0"/>
</file>

<file path=xl/ctrlProps/ctrlProp1539.xml><?xml version="1.0" encoding="utf-8"?>
<formControlPr xmlns="http://schemas.microsoft.com/office/spreadsheetml/2009/9/main" objectType="Drop" dropLines="20" dropStyle="combo" dx="16" fmlaLink="DD_FLU_CAP_PRICES_GROUPB_2" fmlaRange="LU_FLU_Curr_Code" noThreeD="1" sel="1" val="0"/>
</file>

<file path=xl/ctrlProps/ctrlProp154.xml><?xml version="1.0" encoding="utf-8"?>
<formControlPr xmlns="http://schemas.microsoft.com/office/spreadsheetml/2009/9/main" objectType="Drop" dropLines="20" dropStyle="combo" dx="20" fmlaLink="DD_FLU_MICROB_SUPP_5" fmlaRange="LU_FLU_RECC_PRICES_GROUP_D" noThreeD="1" sel="1" val="0"/>
</file>

<file path=xl/ctrlProps/ctrlProp1540.xml><?xml version="1.0" encoding="utf-8"?>
<formControlPr xmlns="http://schemas.microsoft.com/office/spreadsheetml/2009/9/main" objectType="Drop" dropLines="20" dropStyle="combo" dx="16" fmlaLink="DD_FLU_CAP_PRICES_GROUP_C_7" fmlaRange="LU_FLU_Curr_Code" noThreeD="1" sel="1" val="0"/>
</file>

<file path=xl/ctrlProps/ctrlProp1541.xml><?xml version="1.0" encoding="utf-8"?>
<formControlPr xmlns="http://schemas.microsoft.com/office/spreadsheetml/2009/9/main" objectType="Drop" dropLines="20" dropStyle="combo" dx="16" fmlaLink="DD_FLU_CAP_PRICES_GROUP_C_8" fmlaRange="LU_FLU_Curr_Code" noThreeD="1" sel="1" val="0"/>
</file>

<file path=xl/ctrlProps/ctrlProp1542.xml><?xml version="1.0" encoding="utf-8"?>
<formControlPr xmlns="http://schemas.microsoft.com/office/spreadsheetml/2009/9/main" objectType="Drop" dropLines="20" dropStyle="combo" dx="16" fmlaLink="DD_FLU_CAP_PRICES_GROUP_C_9" fmlaRange="LU_FLU_Curr_Code" noThreeD="1" sel="1" val="0"/>
</file>

<file path=xl/ctrlProps/ctrlProp1543.xml><?xml version="1.0" encoding="utf-8"?>
<formControlPr xmlns="http://schemas.microsoft.com/office/spreadsheetml/2009/9/main" objectType="Drop" dropLines="20" dropStyle="combo" dx="16" fmlaLink="DD_FLU_CAP_PRICES_GROUP_C_10" fmlaRange="LU_FLU_Curr_Code" noThreeD="1" sel="1" val="0"/>
</file>

<file path=xl/ctrlProps/ctrlProp1544.xml><?xml version="1.0" encoding="utf-8"?>
<formControlPr xmlns="http://schemas.microsoft.com/office/spreadsheetml/2009/9/main" objectType="Drop" dropLines="20" dropStyle="combo" dx="16" fmlaLink="DD_FLU_CAP_PRICES_GROUP_C_11" fmlaRange="LU_FLU_Curr_Code" noThreeD="1" sel="1" val="0"/>
</file>

<file path=xl/ctrlProps/ctrlProp1545.xml><?xml version="1.0" encoding="utf-8"?>
<formControlPr xmlns="http://schemas.microsoft.com/office/spreadsheetml/2009/9/main" objectType="CheckBox" fmlaLink="CB_Err_Chks_Show_Msg" lockText="1" noThreeD="1"/>
</file>

<file path=xl/ctrlProps/ctrlProp1546.xml><?xml version="1.0" encoding="utf-8"?>
<formControlPr xmlns="http://schemas.microsoft.com/office/spreadsheetml/2009/9/main" objectType="CheckBox" fmlaLink="CB_Sens_Chks_Show_Msg" lockText="1" noThreeD="1"/>
</file>

<file path=xl/ctrlProps/ctrlProp1547.xml><?xml version="1.0" encoding="utf-8"?>
<formControlPr xmlns="http://schemas.microsoft.com/office/spreadsheetml/2009/9/main" objectType="CheckBox" fmlaLink="CB_Alt_Chks_Show_Msg" lockText="1" noThreeD="1"/>
</file>

<file path=xl/ctrlProps/ctrlProp155.xml><?xml version="1.0" encoding="utf-8"?>
<formControlPr xmlns="http://schemas.microsoft.com/office/spreadsheetml/2009/9/main" objectType="Drop" dropLines="20" dropStyle="combo" dx="20" fmlaLink="DD_FLU_MICROB_SUPP_6" fmlaRange="LU_FLU_RECC_PRICES_GROUP_D" noThreeD="1" sel="1" val="0"/>
</file>

<file path=xl/ctrlProps/ctrlProp156.xml><?xml version="1.0" encoding="utf-8"?>
<formControlPr xmlns="http://schemas.microsoft.com/office/spreadsheetml/2009/9/main" objectType="Drop" dropLines="20" dropStyle="combo" dx="20" fmlaLink="DD_FLU_MICROB_SUPP_7" fmlaRange="LU_FLU_RECC_PRICES_GROUP_D" noThreeD="1" sel="1" val="0"/>
</file>

<file path=xl/ctrlProps/ctrlProp157.xml><?xml version="1.0" encoding="utf-8"?>
<formControlPr xmlns="http://schemas.microsoft.com/office/spreadsheetml/2009/9/main" objectType="Drop" dropLines="20" dropStyle="combo" dx="20" fmlaLink="DD_FLU_MICROB_SUPP_8" fmlaRange="LU_FLU_RECC_PRICES_GROUP_D" noThreeD="1" sel="1" val="0"/>
</file>

<file path=xl/ctrlProps/ctrlProp158.xml><?xml version="1.0" encoding="utf-8"?>
<formControlPr xmlns="http://schemas.microsoft.com/office/spreadsheetml/2009/9/main" objectType="Drop" dropLines="20" dropStyle="combo" dx="20" fmlaLink="DD_FLU_MICROB_SUPP_9" fmlaRange="LU_FLU_RECC_PRICES_GROUP_D" noThreeD="1" sel="1" val="0"/>
</file>

<file path=xl/ctrlProps/ctrlProp159.xml><?xml version="1.0" encoding="utf-8"?>
<formControlPr xmlns="http://schemas.microsoft.com/office/spreadsheetml/2009/9/main" objectType="Drop" dropLines="20" dropStyle="combo" dx="20" fmlaLink="DD_FLU_MICROB_SUPP_10" fmlaRange="LU_FLU_RECC_PRICES_GROUP_D" noThreeD="1" sel="1" val="0"/>
</file>

<file path=xl/ctrlProps/ctrlProp16.xml><?xml version="1.0" encoding="utf-8"?>
<formControlPr xmlns="http://schemas.microsoft.com/office/spreadsheetml/2009/9/main" objectType="Drop" dropLines="20" dropStyle="combo" dx="16" fmlaLink="$G$27" fmlaRange="LU_FLU_Curr_Code" noThreeD="1" sel="2" val="0"/>
</file>

<file path=xl/ctrlProps/ctrlProp160.xml><?xml version="1.0" encoding="utf-8"?>
<formControlPr xmlns="http://schemas.microsoft.com/office/spreadsheetml/2009/9/main" objectType="Drop" dropLines="20" dropStyle="combo" dx="20" fmlaLink="DD_FLU_MICROB_SUPP_11" fmlaRange="LU_FLU_RECC_PRICES_GROUP_D" noThreeD="1" sel="1" val="0"/>
</file>

<file path=xl/ctrlProps/ctrlProp161.xml><?xml version="1.0" encoding="utf-8"?>
<formControlPr xmlns="http://schemas.microsoft.com/office/spreadsheetml/2009/9/main" objectType="Drop" dropLines="20" dropStyle="combo" dx="20" fmlaLink="DD_FLU_MICROB_SUPP_12" fmlaRange="LU_FLU_RECC_PRICES_GROUP_D" noThreeD="1" sel="1" val="0"/>
</file>

<file path=xl/ctrlProps/ctrlProp162.xml><?xml version="1.0" encoding="utf-8"?>
<formControlPr xmlns="http://schemas.microsoft.com/office/spreadsheetml/2009/9/main" objectType="Drop" dropLines="20" dropStyle="combo" dx="20" fmlaLink="DD_FLU_MICROB_SUPP_13" fmlaRange="LU_FLU_RECC_PRICES_GROUP_D" noThreeD="1" sel="1" val="0"/>
</file>

<file path=xl/ctrlProps/ctrlProp163.xml><?xml version="1.0" encoding="utf-8"?>
<formControlPr xmlns="http://schemas.microsoft.com/office/spreadsheetml/2009/9/main" objectType="Drop" dropLines="20" dropStyle="combo" dx="20" fmlaLink="DD_FLU_MICROB_SUPP_14" fmlaRange="LU_FLU_RECC_PRICES_GROUP_D" noThreeD="1" sel="1" val="0"/>
</file>

<file path=xl/ctrlProps/ctrlProp164.xml><?xml version="1.0" encoding="utf-8"?>
<formControlPr xmlns="http://schemas.microsoft.com/office/spreadsheetml/2009/9/main" objectType="Drop" dropLines="20" dropStyle="combo" dx="20" fmlaLink="DD_FLU_MICROB_ODC_1" fmlaRange="LU_FLU_RECC_PRICES_GROUP_E" noThreeD="1" sel="2" val="0"/>
</file>

<file path=xl/ctrlProps/ctrlProp165.xml><?xml version="1.0" encoding="utf-8"?>
<formControlPr xmlns="http://schemas.microsoft.com/office/spreadsheetml/2009/9/main" objectType="Drop" dropLines="20" dropStyle="combo" dx="20" fmlaLink="DD_FLU_MICROB_ODC_2" fmlaRange="LU_FLU_RECC_PRICES_GROUP_E" noThreeD="1" sel="1" val="0"/>
</file>

<file path=xl/ctrlProps/ctrlProp166.xml><?xml version="1.0" encoding="utf-8"?>
<formControlPr xmlns="http://schemas.microsoft.com/office/spreadsheetml/2009/9/main" objectType="Drop" dropLines="20" dropStyle="combo" dx="20" fmlaLink="DD_FLU_MICROB_ODC_3" fmlaRange="LU_FLU_RECC_PRICES_GROUP_E" noThreeD="1" sel="1" val="0"/>
</file>

<file path=xl/ctrlProps/ctrlProp167.xml><?xml version="1.0" encoding="utf-8"?>
<formControlPr xmlns="http://schemas.microsoft.com/office/spreadsheetml/2009/9/main" objectType="Drop" dropLines="20" dropStyle="combo" dx="20" fmlaLink="DD_FLU_MICROB_ODC_4" fmlaRange="LU_FLU_RECC_PRICES_GROUP_E" noThreeD="1" sel="1" val="0"/>
</file>

<file path=xl/ctrlProps/ctrlProp168.xml><?xml version="1.0" encoding="utf-8"?>
<formControlPr xmlns="http://schemas.microsoft.com/office/spreadsheetml/2009/9/main" objectType="Drop" dropLines="20" dropStyle="combo" dx="20" fmlaLink="DD_FLU_MICROB_ODC_5" fmlaRange="LU_FLU_RECC_PRICES_GROUP_E" noThreeD="1" sel="1" val="0"/>
</file>

<file path=xl/ctrlProps/ctrlProp169.xml><?xml version="1.0" encoding="utf-8"?>
<formControlPr xmlns="http://schemas.microsoft.com/office/spreadsheetml/2009/9/main" objectType="Drop" dropLines="20" dropStyle="combo" dx="20" fmlaLink="DD_FLU_MICROB_ODC_6" fmlaRange="LU_FLU_RECC_PRICES_GROUP_E" noThreeD="1" sel="1" val="0"/>
</file>

<file path=xl/ctrlProps/ctrlProp17.xml><?xml version="1.0" encoding="utf-8"?>
<formControlPr xmlns="http://schemas.microsoft.com/office/spreadsheetml/2009/9/main" objectType="Drop" dropLines="20" dropStyle="combo" dx="16" fmlaLink="$G$54" fmlaRange="LU_FLU_Curr_Code" noThreeD="1" sel="2" val="0"/>
</file>

<file path=xl/ctrlProps/ctrlProp170.xml><?xml version="1.0" encoding="utf-8"?>
<formControlPr xmlns="http://schemas.microsoft.com/office/spreadsheetml/2009/9/main" objectType="Drop" dropLines="20" dropStyle="combo" dx="20" fmlaLink="DD_FLU_MICROB_ODC_7" fmlaRange="LU_FLU_RECC_PRICES_GROUP_E" noThreeD="1" sel="1" val="0"/>
</file>

<file path=xl/ctrlProps/ctrlProp171.xml><?xml version="1.0" encoding="utf-8"?>
<formControlPr xmlns="http://schemas.microsoft.com/office/spreadsheetml/2009/9/main" objectType="Drop" dropLines="20" dropStyle="combo" dx="20" fmlaLink="DD_FLU_MICROB_ODC_8" fmlaRange="LU_FLU_RECC_PRICES_GROUP_E" noThreeD="1" sel="1" val="0"/>
</file>

<file path=xl/ctrlProps/ctrlProp172.xml><?xml version="1.0" encoding="utf-8"?>
<formControlPr xmlns="http://schemas.microsoft.com/office/spreadsheetml/2009/9/main" objectType="Drop" dropLines="20" dropStyle="combo" dx="20" fmlaLink="DD_FLU_MICROB_ODC_9" fmlaRange="LU_FLU_RECC_PRICES_GROUP_E" noThreeD="1" sel="1" val="0"/>
</file>

<file path=xl/ctrlProps/ctrlProp173.xml><?xml version="1.0" encoding="utf-8"?>
<formControlPr xmlns="http://schemas.microsoft.com/office/spreadsheetml/2009/9/main" objectType="Drop" dropLines="20" dropStyle="combo" dx="20" fmlaLink="DD_FLU_MICROB_ODC_10" fmlaRange="LU_FLU_RECC_PRICES_GROUP_E" noThreeD="1" sel="1" val="0"/>
</file>

<file path=xl/ctrlProps/ctrlProp174.xml><?xml version="1.0" encoding="utf-8"?>
<formControlPr xmlns="http://schemas.microsoft.com/office/spreadsheetml/2009/9/main" objectType="Drop" dropLines="20" dropStyle="combo" dx="20" fmlaLink="DD_FLU_MICROB_ODC_11" fmlaRange="LU_FLU_RECC_PRICES_GROUP_E" noThreeD="1" sel="1" val="0"/>
</file>

<file path=xl/ctrlProps/ctrlProp175.xml><?xml version="1.0" encoding="utf-8"?>
<formControlPr xmlns="http://schemas.microsoft.com/office/spreadsheetml/2009/9/main" objectType="Drop" dropLines="20" dropStyle="combo" dx="20" fmlaLink="DD_FLU_MICROB_ODC_12" fmlaRange="LU_FLU_RECC_PRICES_GROUP_E" noThreeD="1" sel="1" val="0"/>
</file>

<file path=xl/ctrlProps/ctrlProp176.xml><?xml version="1.0" encoding="utf-8"?>
<formControlPr xmlns="http://schemas.microsoft.com/office/spreadsheetml/2009/9/main" objectType="Drop" dropLines="20" dropStyle="combo" dx="20" fmlaLink="DD_FLU_MICROB_ODC_13" fmlaRange="LU_FLU_RECC_PRICES_GROUP_E" noThreeD="1" sel="1" val="0"/>
</file>

<file path=xl/ctrlProps/ctrlProp177.xml><?xml version="1.0" encoding="utf-8"?>
<formControlPr xmlns="http://schemas.microsoft.com/office/spreadsheetml/2009/9/main" objectType="Drop" dropLines="20" dropStyle="combo" dx="20" fmlaLink="DD_FLU_MICROB_ODC_14" fmlaRange="LU_FLU_RECC_PRICES_GROUP_E" noThreeD="1" sel="1" val="0"/>
</file>

<file path=xl/ctrlProps/ctrlProp178.xml><?xml version="1.0" encoding="utf-8"?>
<formControlPr xmlns="http://schemas.microsoft.com/office/spreadsheetml/2009/9/main" objectType="Drop" dropLines="20" dropStyle="combo" dx="20" fmlaLink="DD_FLU_MICROA_SUPPL_1" fmlaRange="LU_FLU_RECC_PRICES_GROUP_D" noThreeD="1" sel="3" val="0"/>
</file>

<file path=xl/ctrlProps/ctrlProp179.xml><?xml version="1.0" encoding="utf-8"?>
<formControlPr xmlns="http://schemas.microsoft.com/office/spreadsheetml/2009/9/main" objectType="Drop" dropLines="20" dropStyle="combo" dx="20" fmlaLink="DD_FLU_MICROA_SUPPL_2" fmlaRange="LU_FLU_RECC_PRICES_GROUP_D" noThreeD="1" sel="1" val="0"/>
</file>

<file path=xl/ctrlProps/ctrlProp18.xml><?xml version="1.0" encoding="utf-8"?>
<formControlPr xmlns="http://schemas.microsoft.com/office/spreadsheetml/2009/9/main" objectType="Drop" dropLines="20" dropStyle="combo" dx="16" fmlaLink="$G$81" fmlaRange="LU_FLU_Curr_Code" noThreeD="1" sel="2" val="0"/>
</file>

<file path=xl/ctrlProps/ctrlProp180.xml><?xml version="1.0" encoding="utf-8"?>
<formControlPr xmlns="http://schemas.microsoft.com/office/spreadsheetml/2009/9/main" objectType="Drop" dropLines="20" dropStyle="combo" dx="20" fmlaLink="DD_FLU_MICROA_SUPPL_3" fmlaRange="LU_FLU_RECC_PRICES_GROUP_D" noThreeD="1" sel="1" val="0"/>
</file>

<file path=xl/ctrlProps/ctrlProp181.xml><?xml version="1.0" encoding="utf-8"?>
<formControlPr xmlns="http://schemas.microsoft.com/office/spreadsheetml/2009/9/main" objectType="Drop" dropLines="20" dropStyle="combo" dx="20" fmlaLink="DD_FLU_MICROA_SUPPL_4" fmlaRange="LU_FLU_RECC_PRICES_GROUP_D" noThreeD="1" sel="1" val="0"/>
</file>

<file path=xl/ctrlProps/ctrlProp182.xml><?xml version="1.0" encoding="utf-8"?>
<formControlPr xmlns="http://schemas.microsoft.com/office/spreadsheetml/2009/9/main" objectType="Drop" dropLines="20" dropStyle="combo" dx="20" fmlaLink="DD_FLU_MICROA_SUPPL_5" fmlaRange="LU_FLU_RECC_PRICES_GROUP_D" noThreeD="1" sel="1" val="0"/>
</file>

<file path=xl/ctrlProps/ctrlProp183.xml><?xml version="1.0" encoding="utf-8"?>
<formControlPr xmlns="http://schemas.microsoft.com/office/spreadsheetml/2009/9/main" objectType="Drop" dropLines="20" dropStyle="combo" dx="20" fmlaLink="DD_FLU_MICROA_SUPPL_6" fmlaRange="LU_FLU_RECC_PRICES_GROUP_D" noThreeD="1" sel="1" val="0"/>
</file>

<file path=xl/ctrlProps/ctrlProp184.xml><?xml version="1.0" encoding="utf-8"?>
<formControlPr xmlns="http://schemas.microsoft.com/office/spreadsheetml/2009/9/main" objectType="Drop" dropLines="20" dropStyle="combo" dx="20" fmlaLink="DD_FLU_MICROA_SUPPL_7" fmlaRange="LU_FLU_RECC_PRICES_GROUP_D" noThreeD="1" sel="1" val="0"/>
</file>

<file path=xl/ctrlProps/ctrlProp185.xml><?xml version="1.0" encoding="utf-8"?>
<formControlPr xmlns="http://schemas.microsoft.com/office/spreadsheetml/2009/9/main" objectType="Drop" dropLines="20" dropStyle="combo" dx="20" fmlaLink="DD_FLU_MICROA_SUPPL_8" fmlaRange="LU_FLU_RECC_PRICES_GROUP_D" noThreeD="1" sel="1" val="0"/>
</file>

<file path=xl/ctrlProps/ctrlProp186.xml><?xml version="1.0" encoding="utf-8"?>
<formControlPr xmlns="http://schemas.microsoft.com/office/spreadsheetml/2009/9/main" objectType="Drop" dropLines="20" dropStyle="combo" dx="20" fmlaLink="DD_FLU_MICROA_SUPPL_9" fmlaRange="LU_FLU_RECC_PRICES_GROUP_D" noThreeD="1" sel="1" val="0"/>
</file>

<file path=xl/ctrlProps/ctrlProp187.xml><?xml version="1.0" encoding="utf-8"?>
<formControlPr xmlns="http://schemas.microsoft.com/office/spreadsheetml/2009/9/main" objectType="Drop" dropLines="20" dropStyle="combo" dx="20" fmlaLink="DD_FLU_MICROA_SUPPL_10" fmlaRange="LU_FLU_RECC_PRICES_GROUP_D" noThreeD="1" sel="1" val="0"/>
</file>

<file path=xl/ctrlProps/ctrlProp188.xml><?xml version="1.0" encoding="utf-8"?>
<formControlPr xmlns="http://schemas.microsoft.com/office/spreadsheetml/2009/9/main" objectType="Drop" dropLines="20" dropStyle="combo" dx="20" fmlaLink="DD_FLU_MICROA_SUPPL_11" fmlaRange="LU_FLU_RECC_PRICES_GROUP_D" noThreeD="1" sel="1" val="0"/>
</file>

<file path=xl/ctrlProps/ctrlProp189.xml><?xml version="1.0" encoding="utf-8"?>
<formControlPr xmlns="http://schemas.microsoft.com/office/spreadsheetml/2009/9/main" objectType="Drop" dropLines="20" dropStyle="combo" dx="20" fmlaLink="DD_FLU_MICROA_SUPPL_12" fmlaRange="LU_FLU_RECC_PRICES_GROUP_D" noThreeD="1" sel="1" val="0"/>
</file>

<file path=xl/ctrlProps/ctrlProp19.xml><?xml version="1.0" encoding="utf-8"?>
<formControlPr xmlns="http://schemas.microsoft.com/office/spreadsheetml/2009/9/main" objectType="Drop" dropLines="20" dropStyle="combo" dx="20" fmlaLink="$G$67" fmlaRange="LU_FLU_Curr_Code" noThreeD="1" sel="1" val="0"/>
</file>

<file path=xl/ctrlProps/ctrlProp190.xml><?xml version="1.0" encoding="utf-8"?>
<formControlPr xmlns="http://schemas.microsoft.com/office/spreadsheetml/2009/9/main" objectType="Drop" dropLines="20" dropStyle="combo" dx="20" fmlaLink="DD_FLU_MICROA_SUPPL_13" fmlaRange="LU_FLU_RECC_PRICES_GROUP_D" noThreeD="1" sel="1" val="0"/>
</file>

<file path=xl/ctrlProps/ctrlProp191.xml><?xml version="1.0" encoding="utf-8"?>
<formControlPr xmlns="http://schemas.microsoft.com/office/spreadsheetml/2009/9/main" objectType="Drop" dropLines="20" dropStyle="combo" dx="20" fmlaLink="DD_FLU_MICROA_SUPPL_14" fmlaRange="LU_FLU_RECC_PRICES_GROUP_D" noThreeD="1" sel="1" val="0"/>
</file>

<file path=xl/ctrlProps/ctrlProp192.xml><?xml version="1.0" encoding="utf-8"?>
<formControlPr xmlns="http://schemas.microsoft.com/office/spreadsheetml/2009/9/main" objectType="Drop" dropLines="20" dropStyle="combo" dx="20" fmlaLink="DD_FLU_MICROC_PERSONNEL_1" fmlaRange="LU_FLU_RECC_PRICES_GROUP_A" noThreeD="1" sel="10" val="0"/>
</file>

<file path=xl/ctrlProps/ctrlProp193.xml><?xml version="1.0" encoding="utf-8"?>
<formControlPr xmlns="http://schemas.microsoft.com/office/spreadsheetml/2009/9/main" objectType="Drop" dropLines="20" dropStyle="combo" dx="20" fmlaLink="DD_FLU_MICROC_PERSONNEL_2" fmlaRange="LU_FLU_RECC_PRICES_GROUP_A" noThreeD="1" sel="1" val="0"/>
</file>

<file path=xl/ctrlProps/ctrlProp194.xml><?xml version="1.0" encoding="utf-8"?>
<formControlPr xmlns="http://schemas.microsoft.com/office/spreadsheetml/2009/9/main" objectType="Drop" dropLines="20" dropStyle="combo" dx="20" fmlaLink="DD_FLU_MICROC_PERSONNEL_3" fmlaRange="LU_FLU_RECC_PRICES_GROUP_A" noThreeD="1" sel="1" val="0"/>
</file>

<file path=xl/ctrlProps/ctrlProp195.xml><?xml version="1.0" encoding="utf-8"?>
<formControlPr xmlns="http://schemas.microsoft.com/office/spreadsheetml/2009/9/main" objectType="Drop" dropLines="20" dropStyle="combo" dx="20" fmlaLink="DD_FLU_MICROC_PERSONNEL_4" fmlaRange="LU_FLU_RECC_PRICES_GROUP_A" noThreeD="1" sel="1" val="0"/>
</file>

<file path=xl/ctrlProps/ctrlProp196.xml><?xml version="1.0" encoding="utf-8"?>
<formControlPr xmlns="http://schemas.microsoft.com/office/spreadsheetml/2009/9/main" objectType="Drop" dropLines="20" dropStyle="combo" dx="20" fmlaLink="DD_FLU_MICROC_PERSONNEL_5" fmlaRange="LU_FLU_RECC_PRICES_GROUP_A" noThreeD="1" sel="1" val="0"/>
</file>

<file path=xl/ctrlProps/ctrlProp197.xml><?xml version="1.0" encoding="utf-8"?>
<formControlPr xmlns="http://schemas.microsoft.com/office/spreadsheetml/2009/9/main" objectType="Drop" dropLines="20" dropStyle="combo" dx="20" fmlaLink="DD_FLU_MICROC_PERSONNEL_6" fmlaRange="LU_FLU_RECC_PRICES_GROUP_A" noThreeD="1" sel="1" val="0"/>
</file>

<file path=xl/ctrlProps/ctrlProp198.xml><?xml version="1.0" encoding="utf-8"?>
<formControlPr xmlns="http://schemas.microsoft.com/office/spreadsheetml/2009/9/main" objectType="Drop" dropLines="20" dropStyle="combo" dx="20" fmlaLink="DD_FLU_MICROC_PERSONNEL_7" fmlaRange="LU_FLU_RECC_PRICES_GROUP_A" noThreeD="1" sel="1" val="0"/>
</file>

<file path=xl/ctrlProps/ctrlProp199.xml><?xml version="1.0" encoding="utf-8"?>
<formControlPr xmlns="http://schemas.microsoft.com/office/spreadsheetml/2009/9/main" objectType="Drop" dropLines="20" dropStyle="combo" dx="20" fmlaLink="DD_FLU_MICROC_PERSONNEL_8" fmlaRange="LU_FLU_RECC_PRICES_GROUP_A" noThreeD="1" sel="1" val="0"/>
</file>

<file path=xl/ctrlProps/ctrlProp2.xml><?xml version="1.0" encoding="utf-8"?>
<formControlPr xmlns="http://schemas.microsoft.com/office/spreadsheetml/2009/9/main" objectType="Drop" dropLines="2" dropStyle="combo" dx="16" fmlaLink="$G$115" fmlaRange="LU_FLU_Curr_Code" noThreeD="1" sel="1" val="0"/>
</file>

<file path=xl/ctrlProps/ctrlProp20.xml><?xml version="1.0" encoding="utf-8"?>
<formControlPr xmlns="http://schemas.microsoft.com/office/spreadsheetml/2009/9/main" objectType="Drop" dropLines="20" dropStyle="combo" dx="20" fmlaLink="$G$207" fmlaRange="LU_FLU_Curr_Code" noThreeD="1" sel="1" val="0"/>
</file>

<file path=xl/ctrlProps/ctrlProp200.xml><?xml version="1.0" encoding="utf-8"?>
<formControlPr xmlns="http://schemas.microsoft.com/office/spreadsheetml/2009/9/main" objectType="Drop" dropLines="20" dropStyle="combo" dx="20" fmlaLink="DD_FLU_MICROC_PERSONNEL_9" fmlaRange="LU_FLU_RECC_PRICES_GROUP_A" noThreeD="1" sel="1" val="0"/>
</file>

<file path=xl/ctrlProps/ctrlProp201.xml><?xml version="1.0" encoding="utf-8"?>
<formControlPr xmlns="http://schemas.microsoft.com/office/spreadsheetml/2009/9/main" objectType="Drop" dropLines="20" dropStyle="combo" dx="20" fmlaLink="DD_FLU_MICROC_PERSONNEL_10" fmlaRange="LU_FLU_RECC_PRICES_GROUP_A" noThreeD="1" sel="1" val="0"/>
</file>

<file path=xl/ctrlProps/ctrlProp202.xml><?xml version="1.0" encoding="utf-8"?>
<formControlPr xmlns="http://schemas.microsoft.com/office/spreadsheetml/2009/9/main" objectType="Drop" dropLines="20" dropStyle="combo" dx="20" fmlaLink="DD_FLU_MICROC_PERSONNEL_11" fmlaRange="LU_FLU_RECC_PRICES_GROUP_A" noThreeD="1" sel="1" val="0"/>
</file>

<file path=xl/ctrlProps/ctrlProp203.xml><?xml version="1.0" encoding="utf-8"?>
<formControlPr xmlns="http://schemas.microsoft.com/office/spreadsheetml/2009/9/main" objectType="Drop" dropLines="20" dropStyle="combo" dx="20" fmlaLink="DD_FLU_MICROC_PERSONNEL_12" fmlaRange="LU_FLU_RECC_PRICES_GROUP_A" noThreeD="1" sel="1" val="0"/>
</file>

<file path=xl/ctrlProps/ctrlProp204.xml><?xml version="1.0" encoding="utf-8"?>
<formControlPr xmlns="http://schemas.microsoft.com/office/spreadsheetml/2009/9/main" objectType="Drop" dropLines="20" dropStyle="combo" dx="20" fmlaLink="DD_FLU_MICROC_PERSONNEL_13" fmlaRange="LU_FLU_RECC_PRICES_GROUP_A" noThreeD="1" sel="1" val="0"/>
</file>

<file path=xl/ctrlProps/ctrlProp205.xml><?xml version="1.0" encoding="utf-8"?>
<formControlPr xmlns="http://schemas.microsoft.com/office/spreadsheetml/2009/9/main" objectType="Drop" dropLines="20" dropStyle="combo" dx="20" fmlaLink="DD_FLU_MICROC_PERSONNEL_14" fmlaRange="LU_FLU_RECC_PRICES_GROUP_A" noThreeD="1" sel="1" val="0"/>
</file>

<file path=xl/ctrlProps/ctrlProp206.xml><?xml version="1.0" encoding="utf-8"?>
<formControlPr xmlns="http://schemas.microsoft.com/office/spreadsheetml/2009/9/main" objectType="Drop" dropLines="20" dropStyle="combo" dx="20" fmlaLink="$I$188" fmlaRange="LU_FLU_Personnel_Unit_Cost_Categories" noThreeD="1" sel="2" val="0"/>
</file>

<file path=xl/ctrlProps/ctrlProp207.xml><?xml version="1.0" encoding="utf-8"?>
<formControlPr xmlns="http://schemas.microsoft.com/office/spreadsheetml/2009/9/main" objectType="Drop" dropLines="20" dropStyle="combo" dx="20" fmlaLink="$I$189" fmlaRange="LU_FLU_Personnel_Unit_Cost_Categories" noThreeD="1" sel="2" val="0"/>
</file>

<file path=xl/ctrlProps/ctrlProp208.xml><?xml version="1.0" encoding="utf-8"?>
<formControlPr xmlns="http://schemas.microsoft.com/office/spreadsheetml/2009/9/main" objectType="Drop" dropLines="20" dropStyle="combo" dx="20" fmlaLink="$I$190" fmlaRange="LU_FLU_Personnel_Unit_Cost_Categories" noThreeD="1" sel="1" val="0"/>
</file>

<file path=xl/ctrlProps/ctrlProp209.xml><?xml version="1.0" encoding="utf-8"?>
<formControlPr xmlns="http://schemas.microsoft.com/office/spreadsheetml/2009/9/main" objectType="Drop" dropLines="20" dropStyle="combo" dx="20" fmlaLink="$I$191" fmlaRange="LU_FLU_Personnel_Unit_Cost_Categories" noThreeD="1" sel="1" val="0"/>
</file>

<file path=xl/ctrlProps/ctrlProp21.xml><?xml version="1.0" encoding="utf-8"?>
<formControlPr xmlns="http://schemas.microsoft.com/office/spreadsheetml/2009/9/main" objectType="Drop" dropLines="20" dropStyle="combo" dx="20" fmlaLink="$G$136" fmlaRange="LU_FLU_Curr_Code" noThreeD="1" sel="1" val="0"/>
</file>

<file path=xl/ctrlProps/ctrlProp210.xml><?xml version="1.0" encoding="utf-8"?>
<formControlPr xmlns="http://schemas.microsoft.com/office/spreadsheetml/2009/9/main" objectType="Drop" dropLines="20" dropStyle="combo" dx="20" fmlaLink="$I$192" fmlaRange="LU_FLU_Personnel_Unit_Cost_Categories" noThreeD="1" sel="1" val="0"/>
</file>

<file path=xl/ctrlProps/ctrlProp211.xml><?xml version="1.0" encoding="utf-8"?>
<formControlPr xmlns="http://schemas.microsoft.com/office/spreadsheetml/2009/9/main" objectType="Drop" dropLines="20" dropStyle="combo" dx="20" fmlaLink="$I$193" fmlaRange="LU_FLU_Personnel_Unit_Cost_Categories" noThreeD="1" sel="1" val="0"/>
</file>

<file path=xl/ctrlProps/ctrlProp212.xml><?xml version="1.0" encoding="utf-8"?>
<formControlPr xmlns="http://schemas.microsoft.com/office/spreadsheetml/2009/9/main" objectType="Drop" dropLines="20" dropStyle="combo" dx="20" fmlaLink="$I$194" fmlaRange="LU_FLU_Personnel_Unit_Cost_Categories" noThreeD="1" sel="1" val="0"/>
</file>

<file path=xl/ctrlProps/ctrlProp213.xml><?xml version="1.0" encoding="utf-8"?>
<formControlPr xmlns="http://schemas.microsoft.com/office/spreadsheetml/2009/9/main" objectType="Drop" dropLines="20" dropStyle="combo" dx="20" fmlaLink="$I$195" fmlaRange="LU_FLU_Personnel_Unit_Cost_Categories" noThreeD="1" sel="1" val="0"/>
</file>

<file path=xl/ctrlProps/ctrlProp214.xml><?xml version="1.0" encoding="utf-8"?>
<formControlPr xmlns="http://schemas.microsoft.com/office/spreadsheetml/2009/9/main" objectType="Drop" dropLines="20" dropStyle="combo" dx="20" fmlaLink="$I$196" fmlaRange="LU_FLU_Personnel_Unit_Cost_Categories" noThreeD="1" sel="1" val="0"/>
</file>

<file path=xl/ctrlProps/ctrlProp215.xml><?xml version="1.0" encoding="utf-8"?>
<formControlPr xmlns="http://schemas.microsoft.com/office/spreadsheetml/2009/9/main" objectType="Drop" dropLines="20" dropStyle="combo" dx="20" fmlaLink="$I$197" fmlaRange="LU_FLU_Personnel_Unit_Cost_Categories" noThreeD="1" sel="1" val="0"/>
</file>

<file path=xl/ctrlProps/ctrlProp216.xml><?xml version="1.0" encoding="utf-8"?>
<formControlPr xmlns="http://schemas.microsoft.com/office/spreadsheetml/2009/9/main" objectType="Drop" dropLines="20" dropStyle="combo" dx="20" fmlaLink="$I$198" fmlaRange="LU_FLU_Personnel_Unit_Cost_Categories" noThreeD="1" sel="1" val="0"/>
</file>

<file path=xl/ctrlProps/ctrlProp217.xml><?xml version="1.0" encoding="utf-8"?>
<formControlPr xmlns="http://schemas.microsoft.com/office/spreadsheetml/2009/9/main" objectType="Drop" dropLines="20" dropStyle="combo" dx="20" fmlaLink="$I$199" fmlaRange="LU_FLU_Personnel_Unit_Cost_Categories" noThreeD="1" sel="1" val="0"/>
</file>

<file path=xl/ctrlProps/ctrlProp218.xml><?xml version="1.0" encoding="utf-8"?>
<formControlPr xmlns="http://schemas.microsoft.com/office/spreadsheetml/2009/9/main" objectType="Drop" dropLines="20" dropStyle="combo" dx="20" fmlaLink="$I$200" fmlaRange="LU_FLU_Personnel_Unit_Cost_Categories" noThreeD="1" sel="1" val="0"/>
</file>

<file path=xl/ctrlProps/ctrlProp219.xml><?xml version="1.0" encoding="utf-8"?>
<formControlPr xmlns="http://schemas.microsoft.com/office/spreadsheetml/2009/9/main" objectType="Drop" dropLines="20" dropStyle="combo" dx="20" fmlaLink="$I$201" fmlaRange="LU_FLU_Personnel_Unit_Cost_Categories" noThreeD="1" sel="1" val="0"/>
</file>

<file path=xl/ctrlProps/ctrlProp22.xml><?xml version="1.0" encoding="utf-8"?>
<formControlPr xmlns="http://schemas.microsoft.com/office/spreadsheetml/2009/9/main" objectType="Drop" dropLines="20" dropStyle="combo" dx="16" fmlaLink="$G$273" fmlaRange="LU_FLU_Curr_Code" noThreeD="1" sel="1" val="0"/>
</file>

<file path=xl/ctrlProps/ctrlProp220.xml><?xml version="1.0" encoding="utf-8"?>
<formControlPr xmlns="http://schemas.microsoft.com/office/spreadsheetml/2009/9/main" objectType="Drop" dropLines="20" dropStyle="combo" dx="20" fmlaLink="DD_FLU_MICROC_ALLOW_1" fmlaRange="LU_FLU_RECC_PRICES_GROUP_C" noThreeD="1" sel="2" val="0"/>
</file>

<file path=xl/ctrlProps/ctrlProp221.xml><?xml version="1.0" encoding="utf-8"?>
<formControlPr xmlns="http://schemas.microsoft.com/office/spreadsheetml/2009/9/main" objectType="Drop" dropLines="20" dropStyle="combo" dx="20" fmlaLink="DD_FLU_MICROC_ALLOW_2" fmlaRange="LU_FLU_RECC_PRICES_GROUP_C" noThreeD="1" sel="1" val="0"/>
</file>

<file path=xl/ctrlProps/ctrlProp222.xml><?xml version="1.0" encoding="utf-8"?>
<formControlPr xmlns="http://schemas.microsoft.com/office/spreadsheetml/2009/9/main" objectType="Drop" dropLines="20" dropStyle="combo" dx="20" fmlaLink="DD_FLU_MICROC_ALLOW_3" fmlaRange="LU_FLU_RECC_PRICES_GROUP_C" noThreeD="1" sel="1" val="0"/>
</file>

<file path=xl/ctrlProps/ctrlProp223.xml><?xml version="1.0" encoding="utf-8"?>
<formControlPr xmlns="http://schemas.microsoft.com/office/spreadsheetml/2009/9/main" objectType="Drop" dropLines="20" dropStyle="combo" dx="20" fmlaLink="DD_FLU_MICROC_ALLOW_4" fmlaRange="LU_FLU_RECC_PRICES_GROUP_C" noThreeD="1" sel="1" val="0"/>
</file>

<file path=xl/ctrlProps/ctrlProp224.xml><?xml version="1.0" encoding="utf-8"?>
<formControlPr xmlns="http://schemas.microsoft.com/office/spreadsheetml/2009/9/main" objectType="Drop" dropLines="20" dropStyle="combo" dx="20" fmlaLink="DD_FLU_MICROC_ALLOW_5" fmlaRange="LU_FLU_RECC_PRICES_GROUP_C" noThreeD="1" sel="1" val="0"/>
</file>

<file path=xl/ctrlProps/ctrlProp225.xml><?xml version="1.0" encoding="utf-8"?>
<formControlPr xmlns="http://schemas.microsoft.com/office/spreadsheetml/2009/9/main" objectType="Drop" dropLines="20" dropStyle="combo" dx="20" fmlaLink="DD_FLU_MICROC_ALLOW_6" fmlaRange="LU_FLU_RECC_PRICES_GROUP_C" noThreeD="1" sel="1" val="0"/>
</file>

<file path=xl/ctrlProps/ctrlProp226.xml><?xml version="1.0" encoding="utf-8"?>
<formControlPr xmlns="http://schemas.microsoft.com/office/spreadsheetml/2009/9/main" objectType="Drop" dropLines="20" dropStyle="combo" dx="20" fmlaLink="DD_FLU_MICROC_ALLOW_7" fmlaRange="LU_FLU_RECC_PRICES_GROUP_C" noThreeD="1" sel="1" val="0"/>
</file>

<file path=xl/ctrlProps/ctrlProp227.xml><?xml version="1.0" encoding="utf-8"?>
<formControlPr xmlns="http://schemas.microsoft.com/office/spreadsheetml/2009/9/main" objectType="Drop" dropLines="20" dropStyle="combo" dx="20" fmlaLink="DD_FLU_MICROC_ALLOW_8" fmlaRange="LU_FLU_RECC_PRICES_GROUP_C" noThreeD="1" sel="1" val="0"/>
</file>

<file path=xl/ctrlProps/ctrlProp228.xml><?xml version="1.0" encoding="utf-8"?>
<formControlPr xmlns="http://schemas.microsoft.com/office/spreadsheetml/2009/9/main" objectType="Drop" dropLines="20" dropStyle="combo" dx="20" fmlaLink="DD_FLU_MICROC_ALLOW_9" fmlaRange="LU_FLU_RECC_PRICES_GROUP_C" noThreeD="1" sel="1" val="0"/>
</file>

<file path=xl/ctrlProps/ctrlProp229.xml><?xml version="1.0" encoding="utf-8"?>
<formControlPr xmlns="http://schemas.microsoft.com/office/spreadsheetml/2009/9/main" objectType="Drop" dropLines="20" dropStyle="combo" dx="20" fmlaLink="DD_FLU_MICROC_ALLOW_10" fmlaRange="LU_FLU_RECC_PRICES_GROUP_C" noThreeD="1" sel="1" val="0"/>
</file>

<file path=xl/ctrlProps/ctrlProp23.xml><?xml version="1.0" encoding="utf-8"?>
<formControlPr xmlns="http://schemas.microsoft.com/office/spreadsheetml/2009/9/main" objectType="Drop" dropLines="20" dropStyle="combo" dx="16" fmlaLink="$G$338" fmlaRange="LU_FLU_Curr_Code" noThreeD="1" sel="1" val="0"/>
</file>

<file path=xl/ctrlProps/ctrlProp230.xml><?xml version="1.0" encoding="utf-8"?>
<formControlPr xmlns="http://schemas.microsoft.com/office/spreadsheetml/2009/9/main" objectType="Drop" dropLines="20" dropStyle="combo" dx="20" fmlaLink="DD_FLU_MICROC_ALLOW_11" fmlaRange="LU_FLU_RECC_PRICES_GROUP_C" noThreeD="1" sel="1" val="0"/>
</file>

<file path=xl/ctrlProps/ctrlProp231.xml><?xml version="1.0" encoding="utf-8"?>
<formControlPr xmlns="http://schemas.microsoft.com/office/spreadsheetml/2009/9/main" objectType="Drop" dropLines="20" dropStyle="combo" dx="20" fmlaLink="DD_FLU_MICROC_ALLOW_12" fmlaRange="LU_FLU_RECC_PRICES_GROUP_C" noThreeD="1" sel="1" val="0"/>
</file>

<file path=xl/ctrlProps/ctrlProp232.xml><?xml version="1.0" encoding="utf-8"?>
<formControlPr xmlns="http://schemas.microsoft.com/office/spreadsheetml/2009/9/main" objectType="Drop" dropLines="20" dropStyle="combo" dx="20" fmlaLink="DD_FLU_MICROC_ALLOW_13" fmlaRange="LU_FLU_RECC_PRICES_GROUP_C" noThreeD="1" sel="1" val="0"/>
</file>

<file path=xl/ctrlProps/ctrlProp233.xml><?xml version="1.0" encoding="utf-8"?>
<formControlPr xmlns="http://schemas.microsoft.com/office/spreadsheetml/2009/9/main" objectType="Drop" dropLines="20" dropStyle="combo" dx="20" fmlaLink="DD_FLU_MICROC_ALLOW_14" fmlaRange="LU_FLU_RECC_PRICES_GROUP_C" noThreeD="1" sel="1" val="0"/>
</file>

<file path=xl/ctrlProps/ctrlProp234.xml><?xml version="1.0" encoding="utf-8"?>
<formControlPr xmlns="http://schemas.microsoft.com/office/spreadsheetml/2009/9/main" objectType="Drop" dropLines="20" dropStyle="combo" dx="20" fmlaLink="$D$245" fmlaRange="LU_FLU_RECC_PRICES_GROUP_E" noThreeD="1" sel="2" val="0"/>
</file>

<file path=xl/ctrlProps/ctrlProp235.xml><?xml version="1.0" encoding="utf-8"?>
<formControlPr xmlns="http://schemas.microsoft.com/office/spreadsheetml/2009/9/main" objectType="Drop" dropLines="20" dropStyle="combo" dx="20" fmlaLink="$D$246" fmlaRange="LU_FLU_RECC_PRICES_GROUP_E" noThreeD="1" sel="1" val="0"/>
</file>

<file path=xl/ctrlProps/ctrlProp236.xml><?xml version="1.0" encoding="utf-8"?>
<formControlPr xmlns="http://schemas.microsoft.com/office/spreadsheetml/2009/9/main" objectType="Drop" dropLines="20" dropStyle="combo" dx="20" fmlaLink="$D$247" fmlaRange="LU_FLU_RECC_PRICES_GROUP_E" noThreeD="1" sel="1" val="0"/>
</file>

<file path=xl/ctrlProps/ctrlProp237.xml><?xml version="1.0" encoding="utf-8"?>
<formControlPr xmlns="http://schemas.microsoft.com/office/spreadsheetml/2009/9/main" objectType="Drop" dropLines="20" dropStyle="combo" dx="20" fmlaLink="$D$248" fmlaRange="LU_FLU_RECC_PRICES_GROUP_E" noThreeD="1" sel="1" val="0"/>
</file>

<file path=xl/ctrlProps/ctrlProp238.xml><?xml version="1.0" encoding="utf-8"?>
<formControlPr xmlns="http://schemas.microsoft.com/office/spreadsheetml/2009/9/main" objectType="Drop" dropLines="20" dropStyle="combo" dx="20" fmlaLink="$D$249" fmlaRange="LU_FLU_RECC_PRICES_GROUP_E" noThreeD="1" sel="1" val="0"/>
</file>

<file path=xl/ctrlProps/ctrlProp239.xml><?xml version="1.0" encoding="utf-8"?>
<formControlPr xmlns="http://schemas.microsoft.com/office/spreadsheetml/2009/9/main" objectType="Drop" dropLines="20" dropStyle="combo" dx="20" fmlaLink="$D$250" fmlaRange="LU_FLU_RECC_PRICES_GROUP_E" noThreeD="1" sel="1" val="0"/>
</file>

<file path=xl/ctrlProps/ctrlProp24.xml><?xml version="1.0" encoding="utf-8"?>
<formControlPr xmlns="http://schemas.microsoft.com/office/spreadsheetml/2009/9/main" objectType="Drop" dropLines="20" dropStyle="combo" dx="16" fmlaLink="$G$405" fmlaRange="LU_FLU_Curr_Code" noThreeD="1" sel="1" val="0"/>
</file>

<file path=xl/ctrlProps/ctrlProp240.xml><?xml version="1.0" encoding="utf-8"?>
<formControlPr xmlns="http://schemas.microsoft.com/office/spreadsheetml/2009/9/main" objectType="Drop" dropLines="20" dropStyle="combo" dx="20" fmlaLink="$D$251" fmlaRange="LU_FLU_RECC_PRICES_GROUP_E" noThreeD="1" sel="1" val="0"/>
</file>

<file path=xl/ctrlProps/ctrlProp241.xml><?xml version="1.0" encoding="utf-8"?>
<formControlPr xmlns="http://schemas.microsoft.com/office/spreadsheetml/2009/9/main" objectType="Drop" dropLines="20" dropStyle="combo" dx="20" fmlaLink="$D$252" fmlaRange="LU_FLU_RECC_PRICES_GROUP_E" noThreeD="1" sel="1" val="0"/>
</file>

<file path=xl/ctrlProps/ctrlProp242.xml><?xml version="1.0" encoding="utf-8"?>
<formControlPr xmlns="http://schemas.microsoft.com/office/spreadsheetml/2009/9/main" objectType="Drop" dropLines="20" dropStyle="combo" dx="20" fmlaLink="$D$253" fmlaRange="LU_FLU_RECC_PRICES_GROUP_E" noThreeD="1" sel="1" val="0"/>
</file>

<file path=xl/ctrlProps/ctrlProp243.xml><?xml version="1.0" encoding="utf-8"?>
<formControlPr xmlns="http://schemas.microsoft.com/office/spreadsheetml/2009/9/main" objectType="Drop" dropLines="20" dropStyle="combo" dx="20" fmlaLink="$D$254" fmlaRange="LU_FLU_RECC_PRICES_GROUP_E" noThreeD="1" sel="1" val="0"/>
</file>

<file path=xl/ctrlProps/ctrlProp244.xml><?xml version="1.0" encoding="utf-8"?>
<formControlPr xmlns="http://schemas.microsoft.com/office/spreadsheetml/2009/9/main" objectType="Drop" dropLines="20" dropStyle="combo" dx="20" fmlaLink="$D$255" fmlaRange="LU_FLU_RECC_PRICES_GROUP_E" noThreeD="1" sel="1" val="0"/>
</file>

<file path=xl/ctrlProps/ctrlProp245.xml><?xml version="1.0" encoding="utf-8"?>
<formControlPr xmlns="http://schemas.microsoft.com/office/spreadsheetml/2009/9/main" objectType="Drop" dropLines="20" dropStyle="combo" dx="20" fmlaLink="$D$256" fmlaRange="LU_FLU_RECC_PRICES_GROUP_E" noThreeD="1" sel="1" val="0"/>
</file>

<file path=xl/ctrlProps/ctrlProp246.xml><?xml version="1.0" encoding="utf-8"?>
<formControlPr xmlns="http://schemas.microsoft.com/office/spreadsheetml/2009/9/main" objectType="Drop" dropLines="20" dropStyle="combo" dx="20" fmlaLink="$D$257" fmlaRange="LU_FLU_RECC_PRICES_GROUP_E" noThreeD="1" sel="1" val="0"/>
</file>

<file path=xl/ctrlProps/ctrlProp247.xml><?xml version="1.0" encoding="utf-8"?>
<formControlPr xmlns="http://schemas.microsoft.com/office/spreadsheetml/2009/9/main" objectType="Drop" dropLines="20" dropStyle="combo" dx="20" fmlaLink="$D$258" fmlaRange="LU_FLU_RECC_PRICES_GROUP_E" noThreeD="1" sel="1" val="0"/>
</file>

<file path=xl/ctrlProps/ctrlProp248.xml><?xml version="1.0" encoding="utf-8"?>
<formControlPr xmlns="http://schemas.microsoft.com/office/spreadsheetml/2009/9/main" objectType="Drop" dropLines="20" dropStyle="combo" dx="20" fmlaLink="$D$226" fmlaRange="LU_FLU_RECC_PRICES_GROUP_D" noThreeD="1" sel="3" val="0"/>
</file>

<file path=xl/ctrlProps/ctrlProp249.xml><?xml version="1.0" encoding="utf-8"?>
<formControlPr xmlns="http://schemas.microsoft.com/office/spreadsheetml/2009/9/main" objectType="Drop" dropLines="20" dropStyle="combo" dx="20" fmlaLink="$D$227" fmlaRange="LU_FLU_RECC_PRICES_GROUP_D" noThreeD="1" sel="1" val="0"/>
</file>

<file path=xl/ctrlProps/ctrlProp25.xml><?xml version="1.0" encoding="utf-8"?>
<formControlPr xmlns="http://schemas.microsoft.com/office/spreadsheetml/2009/9/main" objectType="Drop" dropLines="20" dropStyle="combo" dx="16" fmlaLink="$G$27" fmlaRange="LU_FLU_Curr_Code" noThreeD="1" sel="1" val="0"/>
</file>

<file path=xl/ctrlProps/ctrlProp250.xml><?xml version="1.0" encoding="utf-8"?>
<formControlPr xmlns="http://schemas.microsoft.com/office/spreadsheetml/2009/9/main" objectType="Drop" dropLines="20" dropStyle="combo" dx="20" fmlaLink="$D$228" fmlaRange="LU_FLU_RECC_PRICES_GROUP_D" noThreeD="1" sel="1" val="0"/>
</file>

<file path=xl/ctrlProps/ctrlProp251.xml><?xml version="1.0" encoding="utf-8"?>
<formControlPr xmlns="http://schemas.microsoft.com/office/spreadsheetml/2009/9/main" objectType="Drop" dropLines="20" dropStyle="combo" dx="20" fmlaLink="$D$229" fmlaRange="LU_FLU_RECC_PRICES_GROUP_D" noThreeD="1" sel="1" val="0"/>
</file>

<file path=xl/ctrlProps/ctrlProp252.xml><?xml version="1.0" encoding="utf-8"?>
<formControlPr xmlns="http://schemas.microsoft.com/office/spreadsheetml/2009/9/main" objectType="Drop" dropLines="20" dropStyle="combo" dx="20" fmlaLink="$D$230" fmlaRange="LU_FLU_RECC_PRICES_GROUP_D" noThreeD="1" sel="1" val="0"/>
</file>

<file path=xl/ctrlProps/ctrlProp253.xml><?xml version="1.0" encoding="utf-8"?>
<formControlPr xmlns="http://schemas.microsoft.com/office/spreadsheetml/2009/9/main" objectType="Drop" dropLines="20" dropStyle="combo" dx="20" fmlaLink="$D$231" fmlaRange="LU_FLU_RECC_PRICES_GROUP_D" noThreeD="1" sel="1" val="0"/>
</file>

<file path=xl/ctrlProps/ctrlProp254.xml><?xml version="1.0" encoding="utf-8"?>
<formControlPr xmlns="http://schemas.microsoft.com/office/spreadsheetml/2009/9/main" objectType="Drop" dropLines="20" dropStyle="combo" dx="20" fmlaLink="$D$232" fmlaRange="LU_FLU_RECC_PRICES_GROUP_D" noThreeD="1" sel="1" val="0"/>
</file>

<file path=xl/ctrlProps/ctrlProp255.xml><?xml version="1.0" encoding="utf-8"?>
<formControlPr xmlns="http://schemas.microsoft.com/office/spreadsheetml/2009/9/main" objectType="Drop" dropLines="20" dropStyle="combo" dx="20" fmlaLink="$D$233" fmlaRange="LU_FLU_RECC_PRICES_GROUP_D" noThreeD="1" sel="1" val="0"/>
</file>

<file path=xl/ctrlProps/ctrlProp256.xml><?xml version="1.0" encoding="utf-8"?>
<formControlPr xmlns="http://schemas.microsoft.com/office/spreadsheetml/2009/9/main" objectType="Drop" dropLines="20" dropStyle="combo" dx="20" fmlaLink="$D$234" fmlaRange="LU_FLU_RECC_PRICES_GROUP_D" noThreeD="1" sel="1" val="0"/>
</file>

<file path=xl/ctrlProps/ctrlProp257.xml><?xml version="1.0" encoding="utf-8"?>
<formControlPr xmlns="http://schemas.microsoft.com/office/spreadsheetml/2009/9/main" objectType="Drop" dropLines="20" dropStyle="combo" dx="20" fmlaLink="$D$235" fmlaRange="LU_FLU_RECC_PRICES_GROUP_D" noThreeD="1" sel="1" val="0"/>
</file>

<file path=xl/ctrlProps/ctrlProp258.xml><?xml version="1.0" encoding="utf-8"?>
<formControlPr xmlns="http://schemas.microsoft.com/office/spreadsheetml/2009/9/main" objectType="Drop" dropLines="20" dropStyle="combo" dx="20" fmlaLink="$D$236" fmlaRange="LU_FLU_RECC_PRICES_GROUP_D" noThreeD="1" sel="1" val="0"/>
</file>

<file path=xl/ctrlProps/ctrlProp259.xml><?xml version="1.0" encoding="utf-8"?>
<formControlPr xmlns="http://schemas.microsoft.com/office/spreadsheetml/2009/9/main" objectType="Drop" dropLines="20" dropStyle="combo" dx="20" fmlaLink="$D$237" fmlaRange="LU_FLU_RECC_PRICES_GROUP_D" noThreeD="1" sel="1" val="0"/>
</file>

<file path=xl/ctrlProps/ctrlProp26.xml><?xml version="1.0" encoding="utf-8"?>
<formControlPr xmlns="http://schemas.microsoft.com/office/spreadsheetml/2009/9/main" objectType="Drop" dropLines="20" dropStyle="combo" dx="16" fmlaLink="$G$54" fmlaRange="LU_FLU_Curr_Code" noThreeD="1" sel="2" val="0"/>
</file>

<file path=xl/ctrlProps/ctrlProp260.xml><?xml version="1.0" encoding="utf-8"?>
<formControlPr xmlns="http://schemas.microsoft.com/office/spreadsheetml/2009/9/main" objectType="Drop" dropLines="20" dropStyle="combo" dx="20" fmlaLink="$D$238" fmlaRange="LU_FLU_RECC_PRICES_GROUP_D" noThreeD="1" sel="1" val="0"/>
</file>

<file path=xl/ctrlProps/ctrlProp261.xml><?xml version="1.0" encoding="utf-8"?>
<formControlPr xmlns="http://schemas.microsoft.com/office/spreadsheetml/2009/9/main" objectType="Drop" dropLines="20" dropStyle="combo" dx="20" fmlaLink="$D$239" fmlaRange="LU_FLU_RECC_PRICES_GROUP_D" noThreeD="1" sel="1" val="0"/>
</file>

<file path=xl/ctrlProps/ctrlProp262.xml><?xml version="1.0" encoding="utf-8"?>
<formControlPr xmlns="http://schemas.microsoft.com/office/spreadsheetml/2009/9/main" objectType="Drop" dropLines="20" dropStyle="combo" dx="20" fmlaLink="DD_FLU_DETAIL_MICRO_A_15" fmlaRange="LU_FLU_RECC_PRICES_GROUP_A" noThreeD="1" sel="1" val="0"/>
</file>

<file path=xl/ctrlProps/ctrlProp263.xml><?xml version="1.0" encoding="utf-8"?>
<formControlPr xmlns="http://schemas.microsoft.com/office/spreadsheetml/2009/9/main" objectType="Drop" dropLines="20" dropStyle="combo" dx="20" fmlaLink="DD_FLU_Micro_Pers_Time_Unit_15" fmlaRange="LU_FLU_Personnel_Unit_Cost_Categories" noThreeD="1" sel="1" val="0"/>
</file>

<file path=xl/ctrlProps/ctrlProp264.xml><?xml version="1.0" encoding="utf-8"?>
<formControlPr xmlns="http://schemas.microsoft.com/office/spreadsheetml/2009/9/main" objectType="Drop" dropLines="20" dropStyle="combo" dx="20" fmlaLink="$D$51" fmlaRange="LU_FLU_RECC_PRICES_GROUP_C" noThreeD="1" sel="1" val="0"/>
</file>

<file path=xl/ctrlProps/ctrlProp265.xml><?xml version="1.0" encoding="utf-8"?>
<formControlPr xmlns="http://schemas.microsoft.com/office/spreadsheetml/2009/9/main" objectType="Drop" dropLines="20" dropStyle="combo" dx="20" fmlaLink="DD_FLU_MICROA_SUPPL_15" fmlaRange="LU_FLU_RECC_PRICES_GROUP_D" noThreeD="1" sel="1" val="0"/>
</file>

<file path=xl/ctrlProps/ctrlProp266.xml><?xml version="1.0" encoding="utf-8"?>
<formControlPr xmlns="http://schemas.microsoft.com/office/spreadsheetml/2009/9/main" objectType="Drop" dropLines="20" dropStyle="combo" dx="20" fmlaLink="$D$89" fmlaRange="LU_FLU_RECC_PRICES_GROUP_E" noThreeD="1" sel="1" val="0"/>
</file>

<file path=xl/ctrlProps/ctrlProp267.xml><?xml version="1.0" encoding="utf-8"?>
<formControlPr xmlns="http://schemas.microsoft.com/office/spreadsheetml/2009/9/main" objectType="Drop" dropLines="20" dropStyle="combo" dx="20" fmlaLink="DD_FLU_DETAILED_MICRO_B_PERS_15" fmlaRange="LU_FLU_RECC_PRICES_GROUP_A" noThreeD="1" sel="1" val="0"/>
</file>

<file path=xl/ctrlProps/ctrlProp268.xml><?xml version="1.0" encoding="utf-8"?>
<formControlPr xmlns="http://schemas.microsoft.com/office/spreadsheetml/2009/9/main" objectType="Drop" dropLines="20" dropStyle="combo" dx="20" fmlaLink="DD_FLU_MICROB_PERS_TIME_15" fmlaRange="LU_FLU_Personnel_Unit_Cost_Categories" noThreeD="1" sel="1" val="0"/>
</file>

<file path=xl/ctrlProps/ctrlProp269.xml><?xml version="1.0" encoding="utf-8"?>
<formControlPr xmlns="http://schemas.microsoft.com/office/spreadsheetml/2009/9/main" objectType="Drop" dropLines="20" dropStyle="combo" dx="20" fmlaLink="DD_FLU_MICROB_ALLOW_15" fmlaRange="LU_FLU_RECC_PRICES_GROUP_C" noThreeD="1" sel="1" val="0"/>
</file>

<file path=xl/ctrlProps/ctrlProp27.xml><?xml version="1.0" encoding="utf-8"?>
<formControlPr xmlns="http://schemas.microsoft.com/office/spreadsheetml/2009/9/main" objectType="Drop" dropLines="20" dropStyle="combo" dx="16" fmlaLink="$G$81" fmlaRange="LU_FLU_Curr_Code" noThreeD="1" sel="2" val="0"/>
</file>

<file path=xl/ctrlProps/ctrlProp270.xml><?xml version="1.0" encoding="utf-8"?>
<formControlPr xmlns="http://schemas.microsoft.com/office/spreadsheetml/2009/9/main" objectType="Drop" dropLines="20" dropStyle="combo" dx="20" fmlaLink="DD_FLU_MICROB_SUPP_15" fmlaRange="LU_FLU_RECC_PRICES_GROUP_D" noThreeD="1" sel="1" val="0"/>
</file>

<file path=xl/ctrlProps/ctrlProp271.xml><?xml version="1.0" encoding="utf-8"?>
<formControlPr xmlns="http://schemas.microsoft.com/office/spreadsheetml/2009/9/main" objectType="Drop" dropLines="20" dropStyle="combo" dx="20" fmlaLink="DD_FLU_MICROB_ODC_15" fmlaRange="LU_FLU_RECC_PRICES_GROUP_E" noThreeD="1" sel="1" val="0"/>
</file>

<file path=xl/ctrlProps/ctrlProp272.xml><?xml version="1.0" encoding="utf-8"?>
<formControlPr xmlns="http://schemas.microsoft.com/office/spreadsheetml/2009/9/main" objectType="Drop" dropLines="20" dropStyle="combo" dx="20" fmlaLink="DD_FLU_MICROC_PERSONNEL_15" fmlaRange="LU_FLU_RECC_PRICES_GROUP_A" noThreeD="1" sel="1" val="0"/>
</file>

<file path=xl/ctrlProps/ctrlProp273.xml><?xml version="1.0" encoding="utf-8"?>
<formControlPr xmlns="http://schemas.microsoft.com/office/spreadsheetml/2009/9/main" objectType="Drop" dropLines="20" dropStyle="combo" dx="20" fmlaLink="$I$202" fmlaRange="LU_FLU_Personnel_Unit_Cost_Categories" noThreeD="1" sel="1" val="0"/>
</file>

<file path=xl/ctrlProps/ctrlProp274.xml><?xml version="1.0" encoding="utf-8"?>
<formControlPr xmlns="http://schemas.microsoft.com/office/spreadsheetml/2009/9/main" objectType="Drop" dropLines="20" dropStyle="combo" dx="20" fmlaLink="DD_FLU_MICROC_ALLOW_15" fmlaRange="LU_FLU_RECC_PRICES_GROUP_C" noThreeD="1" sel="1" val="0"/>
</file>

<file path=xl/ctrlProps/ctrlProp275.xml><?xml version="1.0" encoding="utf-8"?>
<formControlPr xmlns="http://schemas.microsoft.com/office/spreadsheetml/2009/9/main" objectType="Drop" dropLines="20" dropStyle="combo" dx="20" fmlaLink="$D$240" fmlaRange="LU_FLU_RECC_PRICES_GROUP_D" noThreeD="1" sel="1" val="0"/>
</file>

<file path=xl/ctrlProps/ctrlProp276.xml><?xml version="1.0" encoding="utf-8"?>
<formControlPr xmlns="http://schemas.microsoft.com/office/spreadsheetml/2009/9/main" objectType="Drop" dropLines="20" dropStyle="combo" dx="20" fmlaLink="$D$259" fmlaRange="LU_FLU_RECC_PRICES_GROUP_E" noThreeD="1" sel="1" val="0"/>
</file>

<file path=xl/ctrlProps/ctrlProp277.xml><?xml version="1.0" encoding="utf-8"?>
<formControlPr xmlns="http://schemas.microsoft.com/office/spreadsheetml/2009/9/main" objectType="Drop" dropLines="20" dropStyle="combo" dx="16" fmlaLink="$D$17" fmlaRange="LU_FLU_RECC_PRICES_GROUP_A" noThreeD="1" sel="18" val="4"/>
</file>

<file path=xl/ctrlProps/ctrlProp278.xml><?xml version="1.0" encoding="utf-8"?>
<formControlPr xmlns="http://schemas.microsoft.com/office/spreadsheetml/2009/9/main" objectType="Drop" dropLines="20" dropStyle="combo" dx="16" fmlaLink="$D$18" fmlaRange="LU_FLU_RECC_PRICES_GROUP_A" noThreeD="1" sel="17" val="5"/>
</file>

<file path=xl/ctrlProps/ctrlProp279.xml><?xml version="1.0" encoding="utf-8"?>
<formControlPr xmlns="http://schemas.microsoft.com/office/spreadsheetml/2009/9/main" objectType="Drop" dropLines="20" dropStyle="combo" dx="16" fmlaLink="$D$19" fmlaRange="LU_FLU_RECC_PRICES_GROUP_A" noThreeD="1" sel="9" val="0"/>
</file>

<file path=xl/ctrlProps/ctrlProp28.xml><?xml version="1.0" encoding="utf-8"?>
<formControlPr xmlns="http://schemas.microsoft.com/office/spreadsheetml/2009/9/main" objectType="Drop" dropLines="20" dropStyle="combo" dx="16" fmlaLink="$G$33" fmlaRange="LU_FLU_Curr_Code" noThreeD="1" sel="2" val="0"/>
</file>

<file path=xl/ctrlProps/ctrlProp280.xml><?xml version="1.0" encoding="utf-8"?>
<formControlPr xmlns="http://schemas.microsoft.com/office/spreadsheetml/2009/9/main" objectType="Drop" dropLines="20" dropStyle="combo" dx="16" fmlaLink="$D$20" fmlaRange="LU_FLU_RECC_PRICES_GROUP_A" noThreeD="1" sel="8" val="5"/>
</file>

<file path=xl/ctrlProps/ctrlProp281.xml><?xml version="1.0" encoding="utf-8"?>
<formControlPr xmlns="http://schemas.microsoft.com/office/spreadsheetml/2009/9/main" objectType="Drop" dropLines="20" dropStyle="combo" dx="16" fmlaLink="$D$21" fmlaRange="LU_FLU_RECC_PRICES_GROUP_A" noThreeD="1" sel="17" val="3"/>
</file>

<file path=xl/ctrlProps/ctrlProp282.xml><?xml version="1.0" encoding="utf-8"?>
<formControlPr xmlns="http://schemas.microsoft.com/office/spreadsheetml/2009/9/main" objectType="Drop" dropLines="20" dropStyle="combo" dx="16" fmlaLink="$D$22" fmlaRange="LU_FLU_RECC_PRICES_GROUP_A" noThreeD="1" sel="9" val="0"/>
</file>

<file path=xl/ctrlProps/ctrlProp283.xml><?xml version="1.0" encoding="utf-8"?>
<formControlPr xmlns="http://schemas.microsoft.com/office/spreadsheetml/2009/9/main" objectType="Drop" dropLines="20" dropStyle="combo" dx="16" fmlaLink="$D$23" fmlaRange="LU_FLU_RECC_PRICES_GROUP_A" noThreeD="1" sel="8" val="0"/>
</file>

<file path=xl/ctrlProps/ctrlProp284.xml><?xml version="1.0" encoding="utf-8"?>
<formControlPr xmlns="http://schemas.microsoft.com/office/spreadsheetml/2009/9/main" objectType="Drop" dropLines="20" dropStyle="combo" dx="16" fmlaLink="$D$24" fmlaRange="LU_FLU_RECC_PRICES_GROUP_A" noThreeD="1" sel="17" val="0"/>
</file>

<file path=xl/ctrlProps/ctrlProp285.xml><?xml version="1.0" encoding="utf-8"?>
<formControlPr xmlns="http://schemas.microsoft.com/office/spreadsheetml/2009/9/main" objectType="Drop" dropLines="20" dropStyle="combo" dx="16" fmlaLink="$D$25" fmlaRange="LU_FLU_RECC_PRICES_GROUP_A" noThreeD="1" sel="9" val="0"/>
</file>

<file path=xl/ctrlProps/ctrlProp286.xml><?xml version="1.0" encoding="utf-8"?>
<formControlPr xmlns="http://schemas.microsoft.com/office/spreadsheetml/2009/9/main" objectType="Drop" dropLines="20" dropStyle="combo" dx="16" fmlaLink="$D$26" fmlaRange="LU_FLU_RECC_PRICES_GROUP_A" noThreeD="1" sel="22" val="5"/>
</file>

<file path=xl/ctrlProps/ctrlProp287.xml><?xml version="1.0" encoding="utf-8"?>
<formControlPr xmlns="http://schemas.microsoft.com/office/spreadsheetml/2009/9/main" objectType="Drop" dropLines="20" dropStyle="combo" dx="16" fmlaLink="$D$27" fmlaRange="LU_FLU_RECC_PRICES_GROUP_A" noThreeD="1" sel="16" val="5"/>
</file>

<file path=xl/ctrlProps/ctrlProp288.xml><?xml version="1.0" encoding="utf-8"?>
<formControlPr xmlns="http://schemas.microsoft.com/office/spreadsheetml/2009/9/main" objectType="Drop" dropLines="20" dropStyle="combo" dx="16" fmlaLink="$D$28" fmlaRange="LU_FLU_RECC_PRICES_GROUP_A" noThreeD="1" sel="1" val="0"/>
</file>

<file path=xl/ctrlProps/ctrlProp289.xml><?xml version="1.0" encoding="utf-8"?>
<formControlPr xmlns="http://schemas.microsoft.com/office/spreadsheetml/2009/9/main" objectType="Drop" dropLines="20" dropStyle="combo" dx="16" fmlaLink="$D$29" fmlaRange="LU_FLU_RECC_PRICES_GROUP_A" noThreeD="1" sel="1" val="0"/>
</file>

<file path=xl/ctrlProps/ctrlProp29.xml><?xml version="1.0" encoding="utf-8"?>
<formControlPr xmlns="http://schemas.microsoft.com/office/spreadsheetml/2009/9/main" objectType="Drop" dropLines="20" dropStyle="combo" dx="16" fmlaLink="$G$60" fmlaRange="LU_FLU_Curr_Code" noThreeD="1" sel="1" val="0"/>
</file>

<file path=xl/ctrlProps/ctrlProp290.xml><?xml version="1.0" encoding="utf-8"?>
<formControlPr xmlns="http://schemas.microsoft.com/office/spreadsheetml/2009/9/main" objectType="Drop" dropLines="20" dropStyle="combo" dx="16" fmlaLink="$D$30" fmlaRange="LU_FLU_RECC_PRICES_GROUP_A" noThreeD="1" sel="1" val="0"/>
</file>

<file path=xl/ctrlProps/ctrlProp291.xml><?xml version="1.0" encoding="utf-8"?>
<formControlPr xmlns="http://schemas.microsoft.com/office/spreadsheetml/2009/9/main" objectType="Drop" dropLines="20" dropStyle="combo" dx="16" fmlaLink="$D$31" fmlaRange="LU_FLU_RECC_PRICES_GROUP_A" noThreeD="1" sel="1" val="0"/>
</file>

<file path=xl/ctrlProps/ctrlProp292.xml><?xml version="1.0" encoding="utf-8"?>
<formControlPr xmlns="http://schemas.microsoft.com/office/spreadsheetml/2009/9/main" objectType="Drop" dropLines="20" dropStyle="combo" dx="16" fmlaLink="$I$17" fmlaRange="LU_FLU_Personnel_Unit_Cost_Categories" noThreeD="1" sel="2" val="0"/>
</file>

<file path=xl/ctrlProps/ctrlProp293.xml><?xml version="1.0" encoding="utf-8"?>
<formControlPr xmlns="http://schemas.microsoft.com/office/spreadsheetml/2009/9/main" objectType="Drop" dropLines="20" dropStyle="combo" dx="16" fmlaLink="$I$18" fmlaRange="LU_FLU_Personnel_Unit_Cost_Categories" noThreeD="1" sel="2" val="0"/>
</file>

<file path=xl/ctrlProps/ctrlProp294.xml><?xml version="1.0" encoding="utf-8"?>
<formControlPr xmlns="http://schemas.microsoft.com/office/spreadsheetml/2009/9/main" objectType="Drop" dropLines="20" dropStyle="combo" dx="16" fmlaLink="$I$19" fmlaRange="LU_FLU_Personnel_Unit_Cost_Categories" noThreeD="1" sel="2" val="0"/>
</file>

<file path=xl/ctrlProps/ctrlProp295.xml><?xml version="1.0" encoding="utf-8"?>
<formControlPr xmlns="http://schemas.microsoft.com/office/spreadsheetml/2009/9/main" objectType="Drop" dropLines="20" dropStyle="combo" dx="16" fmlaLink="$I$20" fmlaRange="LU_FLU_Personnel_Unit_Cost_Categories" noThreeD="1" sel="2" val="0"/>
</file>

<file path=xl/ctrlProps/ctrlProp296.xml><?xml version="1.0" encoding="utf-8"?>
<formControlPr xmlns="http://schemas.microsoft.com/office/spreadsheetml/2009/9/main" objectType="Drop" dropLines="20" dropStyle="combo" dx="16" fmlaLink="$I$21" fmlaRange="LU_FLU_Personnel_Unit_Cost_Categories" noThreeD="1" sel="2" val="0"/>
</file>

<file path=xl/ctrlProps/ctrlProp297.xml><?xml version="1.0" encoding="utf-8"?>
<formControlPr xmlns="http://schemas.microsoft.com/office/spreadsheetml/2009/9/main" objectType="Drop" dropLines="20" dropStyle="combo" dx="16" fmlaLink="$I$22" fmlaRange="LU_FLU_Personnel_Unit_Cost_Categories" noThreeD="1" sel="2" val="0"/>
</file>

<file path=xl/ctrlProps/ctrlProp298.xml><?xml version="1.0" encoding="utf-8"?>
<formControlPr xmlns="http://schemas.microsoft.com/office/spreadsheetml/2009/9/main" objectType="Drop" dropLines="20" dropStyle="combo" dx="16" fmlaLink="$I$23" fmlaRange="LU_FLU_Personnel_Unit_Cost_Categories" noThreeD="1" sel="2" val="0"/>
</file>

<file path=xl/ctrlProps/ctrlProp299.xml><?xml version="1.0" encoding="utf-8"?>
<formControlPr xmlns="http://schemas.microsoft.com/office/spreadsheetml/2009/9/main" objectType="Drop" dropLines="20" dropStyle="combo" dx="16" fmlaLink="$I$24" fmlaRange="LU_FLU_Personnel_Unit_Cost_Categories" noThreeD="1" sel="2" val="0"/>
</file>

<file path=xl/ctrlProps/ctrlProp3.xml><?xml version="1.0" encoding="utf-8"?>
<formControlPr xmlns="http://schemas.microsoft.com/office/spreadsheetml/2009/9/main" objectType="Drop" dropLines="2" dropStyle="combo" dx="16" fmlaLink="$G$116" fmlaRange="LU_FLU_FIN_ECON" noThreeD="1" sel="2" val="0"/>
</file>

<file path=xl/ctrlProps/ctrlProp30.xml><?xml version="1.0" encoding="utf-8"?>
<formControlPr xmlns="http://schemas.microsoft.com/office/spreadsheetml/2009/9/main" objectType="Drop" dropLines="20" dropStyle="combo" dx="16" fmlaLink="$G$87" fmlaRange="LU_FLU_Curr_Code" noThreeD="1" sel="2" val="0"/>
</file>

<file path=xl/ctrlProps/ctrlProp300.xml><?xml version="1.0" encoding="utf-8"?>
<formControlPr xmlns="http://schemas.microsoft.com/office/spreadsheetml/2009/9/main" objectType="Drop" dropLines="20" dropStyle="combo" dx="16" fmlaLink="$I$25" fmlaRange="LU_FLU_Personnel_Unit_Cost_Categories" noThreeD="1" sel="2" val="0"/>
</file>

<file path=xl/ctrlProps/ctrlProp301.xml><?xml version="1.0" encoding="utf-8"?>
<formControlPr xmlns="http://schemas.microsoft.com/office/spreadsheetml/2009/9/main" objectType="Drop" dropLines="20" dropStyle="combo" dx="16" fmlaLink="$I$26" fmlaRange="LU_FLU_Personnel_Unit_Cost_Categories" noThreeD="1" sel="2" val="0"/>
</file>

<file path=xl/ctrlProps/ctrlProp302.xml><?xml version="1.0" encoding="utf-8"?>
<formControlPr xmlns="http://schemas.microsoft.com/office/spreadsheetml/2009/9/main" objectType="Drop" dropLines="20" dropStyle="combo" dx="16" fmlaLink="$I$27" fmlaRange="LU_FLU_Personnel_Unit_Cost_Categories" noThreeD="1" sel="2" val="0"/>
</file>

<file path=xl/ctrlProps/ctrlProp303.xml><?xml version="1.0" encoding="utf-8"?>
<formControlPr xmlns="http://schemas.microsoft.com/office/spreadsheetml/2009/9/main" objectType="Drop" dropLines="20" dropStyle="combo" dx="16" fmlaLink="$I$28" fmlaRange="LU_FLU_Personnel_Unit_Cost_Categories" noThreeD="1" sel="1" val="0"/>
</file>

<file path=xl/ctrlProps/ctrlProp304.xml><?xml version="1.0" encoding="utf-8"?>
<formControlPr xmlns="http://schemas.microsoft.com/office/spreadsheetml/2009/9/main" objectType="Drop" dropLines="20" dropStyle="combo" dx="16" fmlaLink="$I$29" fmlaRange="LU_FLU_Personnel_Unit_Cost_Categories" noThreeD="1" sel="1" val="0"/>
</file>

<file path=xl/ctrlProps/ctrlProp305.xml><?xml version="1.0" encoding="utf-8"?>
<formControlPr xmlns="http://schemas.microsoft.com/office/spreadsheetml/2009/9/main" objectType="Drop" dropLines="20" dropStyle="combo" dx="16" fmlaLink="$I$30" fmlaRange="LU_FLU_Personnel_Unit_Cost_Categories" noThreeD="1" sel="1" val="0"/>
</file>

<file path=xl/ctrlProps/ctrlProp306.xml><?xml version="1.0" encoding="utf-8"?>
<formControlPr xmlns="http://schemas.microsoft.com/office/spreadsheetml/2009/9/main" objectType="Drop" dropLines="20" dropStyle="combo" dx="16" fmlaLink="$I$31" fmlaRange="LU_FLU_Personnel_Unit_Cost_Categories" noThreeD="1" sel="1" val="0"/>
</file>

<file path=xl/ctrlProps/ctrlProp307.xml><?xml version="1.0" encoding="utf-8"?>
<formControlPr xmlns="http://schemas.microsoft.com/office/spreadsheetml/2009/9/main" objectType="Drop" dropLines="20" dropStyle="combo" dx="16" fmlaLink="$D$36" fmlaRange="LU_FLU_RECC_PRICES_GROUP_C" noThreeD="1" sel="1" val="0"/>
</file>

<file path=xl/ctrlProps/ctrlProp308.xml><?xml version="1.0" encoding="utf-8"?>
<formControlPr xmlns="http://schemas.microsoft.com/office/spreadsheetml/2009/9/main" objectType="Drop" dropLines="20" dropStyle="combo" dx="16" fmlaLink="$D$37" fmlaRange="LU_FLU_RECC_PRICES_GROUP_C" noThreeD="1" sel="1" val="0"/>
</file>

<file path=xl/ctrlProps/ctrlProp309.xml><?xml version="1.0" encoding="utf-8"?>
<formControlPr xmlns="http://schemas.microsoft.com/office/spreadsheetml/2009/9/main" objectType="Drop" dropLines="20" dropStyle="combo" dx="16" fmlaLink="$D$38" fmlaRange="LU_FLU_RECC_PRICES_GROUP_C" noThreeD="1" sel="1" val="0"/>
</file>

<file path=xl/ctrlProps/ctrlProp31.xml><?xml version="1.0" encoding="utf-8"?>
<formControlPr xmlns="http://schemas.microsoft.com/office/spreadsheetml/2009/9/main" objectType="Drop" dropLines="20" dropStyle="combo" dx="16" fmlaLink="$G$114" fmlaRange="LU_FLU_Curr_Code" noThreeD="1" sel="1" val="0"/>
</file>

<file path=xl/ctrlProps/ctrlProp310.xml><?xml version="1.0" encoding="utf-8"?>
<formControlPr xmlns="http://schemas.microsoft.com/office/spreadsheetml/2009/9/main" objectType="Drop" dropLines="20" dropStyle="combo" dx="16" fmlaLink="$D$39" fmlaRange="LU_FLU_RECC_PRICES_GROUP_C" noThreeD="1" sel="1" val="0"/>
</file>

<file path=xl/ctrlProps/ctrlProp311.xml><?xml version="1.0" encoding="utf-8"?>
<formControlPr xmlns="http://schemas.microsoft.com/office/spreadsheetml/2009/9/main" objectType="Drop" dropLines="20" dropStyle="combo" dx="16" fmlaLink="$D$40" fmlaRange="LU_FLU_RECC_PRICES_GROUP_C" noThreeD="1" sel="1" val="0"/>
</file>

<file path=xl/ctrlProps/ctrlProp312.xml><?xml version="1.0" encoding="utf-8"?>
<formControlPr xmlns="http://schemas.microsoft.com/office/spreadsheetml/2009/9/main" objectType="Drop" dropLines="20" dropStyle="combo" dx="16" fmlaLink="$D$41" fmlaRange="LU_FLU_RECC_PRICES_GROUP_C" noThreeD="1" sel="1" val="0"/>
</file>

<file path=xl/ctrlProps/ctrlProp313.xml><?xml version="1.0" encoding="utf-8"?>
<formControlPr xmlns="http://schemas.microsoft.com/office/spreadsheetml/2009/9/main" objectType="Drop" dropLines="20" dropStyle="combo" dx="16" fmlaLink="$D$42" fmlaRange="LU_FLU_RECC_PRICES_GROUP_C" noThreeD="1" sel="1" val="0"/>
</file>

<file path=xl/ctrlProps/ctrlProp314.xml><?xml version="1.0" encoding="utf-8"?>
<formControlPr xmlns="http://schemas.microsoft.com/office/spreadsheetml/2009/9/main" objectType="Drop" dropLines="20" dropStyle="combo" dx="16" fmlaLink="$D$43" fmlaRange="LU_FLU_RECC_PRICES_GROUP_C" noThreeD="1" sel="1" val="0"/>
</file>

<file path=xl/ctrlProps/ctrlProp315.xml><?xml version="1.0" encoding="utf-8"?>
<formControlPr xmlns="http://schemas.microsoft.com/office/spreadsheetml/2009/9/main" objectType="Drop" dropLines="20" dropStyle="combo" dx="16" fmlaLink="$D$44" fmlaRange="LU_FLU_RECC_PRICES_GROUP_C" noThreeD="1" sel="1" val="0"/>
</file>

<file path=xl/ctrlProps/ctrlProp316.xml><?xml version="1.0" encoding="utf-8"?>
<formControlPr xmlns="http://schemas.microsoft.com/office/spreadsheetml/2009/9/main" objectType="Drop" dropLines="20" dropStyle="combo" dx="16" fmlaLink="$D$45" fmlaRange="LU_FLU_RECC_PRICES_GROUP_C" noThreeD="1" sel="1" val="0"/>
</file>

<file path=xl/ctrlProps/ctrlProp317.xml><?xml version="1.0" encoding="utf-8"?>
<formControlPr xmlns="http://schemas.microsoft.com/office/spreadsheetml/2009/9/main" objectType="Drop" dropLines="20" dropStyle="combo" dx="16" fmlaLink="$D$46" fmlaRange="LU_FLU_RECC_PRICES_GROUP_C" noThreeD="1" sel="1" val="0"/>
</file>

<file path=xl/ctrlProps/ctrlProp318.xml><?xml version="1.0" encoding="utf-8"?>
<formControlPr xmlns="http://schemas.microsoft.com/office/spreadsheetml/2009/9/main" objectType="Drop" dropLines="20" dropStyle="combo" dx="16" fmlaLink="$D$47" fmlaRange="LU_FLU_RECC_PRICES_GROUP_C" noThreeD="1" sel="1" val="0"/>
</file>

<file path=xl/ctrlProps/ctrlProp319.xml><?xml version="1.0" encoding="utf-8"?>
<formControlPr xmlns="http://schemas.microsoft.com/office/spreadsheetml/2009/9/main" objectType="Drop" dropLines="20" dropStyle="combo" dx="16" fmlaLink="$D$48" fmlaRange="LU_FLU_RECC_PRICES_GROUP_C" noThreeD="1" sel="1" val="0"/>
</file>

<file path=xl/ctrlProps/ctrlProp32.xml><?xml version="1.0" encoding="utf-8"?>
<formControlPr xmlns="http://schemas.microsoft.com/office/spreadsheetml/2009/9/main" objectType="Drop" dropLines="20" dropStyle="combo" dx="16" fmlaLink="$G$149" fmlaRange="LU_FLU_Curr_Code" noThreeD="1" sel="1" val="0"/>
</file>

<file path=xl/ctrlProps/ctrlProp320.xml><?xml version="1.0" encoding="utf-8"?>
<formControlPr xmlns="http://schemas.microsoft.com/office/spreadsheetml/2009/9/main" objectType="Drop" dropLines="20" dropStyle="combo" dx="16" fmlaLink="$D$49" fmlaRange="LU_FLU_RECC_PRICES_GROUP_C" noThreeD="1" sel="1" val="0"/>
</file>

<file path=xl/ctrlProps/ctrlProp321.xml><?xml version="1.0" encoding="utf-8"?>
<formControlPr xmlns="http://schemas.microsoft.com/office/spreadsheetml/2009/9/main" objectType="Drop" dropLines="20" dropStyle="combo" dx="16" fmlaLink="$D$50" fmlaRange="LU_FLU_RECC_PRICES_GROUP_C" noThreeD="1" sel="1" val="0"/>
</file>

<file path=xl/ctrlProps/ctrlProp322.xml><?xml version="1.0" encoding="utf-8"?>
<formControlPr xmlns="http://schemas.microsoft.com/office/spreadsheetml/2009/9/main" objectType="Drop" dropLines="20" dropStyle="combo" dx="16" fmlaLink="$D$55" fmlaRange="LU_FLU_RECC_PRICES_GROUP_D" noThreeD="1" sel="1" val="0"/>
</file>

<file path=xl/ctrlProps/ctrlProp323.xml><?xml version="1.0" encoding="utf-8"?>
<formControlPr xmlns="http://schemas.microsoft.com/office/spreadsheetml/2009/9/main" objectType="Drop" dropLines="20" dropStyle="combo" dx="16" fmlaLink="$D$56" fmlaRange="LU_FLU_RECC_PRICES_GROUP_D" noThreeD="1" sel="1" val="0"/>
</file>

<file path=xl/ctrlProps/ctrlProp324.xml><?xml version="1.0" encoding="utf-8"?>
<formControlPr xmlns="http://schemas.microsoft.com/office/spreadsheetml/2009/9/main" objectType="Drop" dropLines="20" dropStyle="combo" dx="16" fmlaLink="$D$57" fmlaRange="LU_FLU_RECC_PRICES_GROUP_D" noThreeD="1" sel="1" val="0"/>
</file>

<file path=xl/ctrlProps/ctrlProp325.xml><?xml version="1.0" encoding="utf-8"?>
<formControlPr xmlns="http://schemas.microsoft.com/office/spreadsheetml/2009/9/main" objectType="Drop" dropLines="20" dropStyle="combo" dx="16" fmlaLink="$D$58" fmlaRange="LU_FLU_RECC_PRICES_GROUP_D" noThreeD="1" sel="1" val="0"/>
</file>

<file path=xl/ctrlProps/ctrlProp326.xml><?xml version="1.0" encoding="utf-8"?>
<formControlPr xmlns="http://schemas.microsoft.com/office/spreadsheetml/2009/9/main" objectType="Drop" dropLines="20" dropStyle="combo" dx="16" fmlaLink="$D$59" fmlaRange="LU_FLU_RECC_PRICES_GROUP_D" noThreeD="1" sel="1" val="0"/>
</file>

<file path=xl/ctrlProps/ctrlProp327.xml><?xml version="1.0" encoding="utf-8"?>
<formControlPr xmlns="http://schemas.microsoft.com/office/spreadsheetml/2009/9/main" objectType="Drop" dropLines="20" dropStyle="combo" dx="16" fmlaLink="$D$60" fmlaRange="LU_FLU_RECC_PRICES_GROUP_D" noThreeD="1" sel="1" val="0"/>
</file>

<file path=xl/ctrlProps/ctrlProp328.xml><?xml version="1.0" encoding="utf-8"?>
<formControlPr xmlns="http://schemas.microsoft.com/office/spreadsheetml/2009/9/main" objectType="Drop" dropLines="20" dropStyle="combo" dx="16" fmlaLink="$D$61" fmlaRange="LU_FLU_RECC_PRICES_GROUP_D" noThreeD="1" sel="1" val="0"/>
</file>

<file path=xl/ctrlProps/ctrlProp329.xml><?xml version="1.0" encoding="utf-8"?>
<formControlPr xmlns="http://schemas.microsoft.com/office/spreadsheetml/2009/9/main" objectType="Drop" dropLines="20" dropStyle="combo" dx="16" fmlaLink="$D$62" fmlaRange="LU_FLU_RECC_PRICES_GROUP_D" noThreeD="1" sel="1" val="0"/>
</file>

<file path=xl/ctrlProps/ctrlProp33.xml><?xml version="1.0" encoding="utf-8"?>
<formControlPr xmlns="http://schemas.microsoft.com/office/spreadsheetml/2009/9/main" objectType="Drop" dropLines="20" dropStyle="combo" dx="16" fmlaLink="$G$186" fmlaRange="LU_FLU_Curr_Code" noThreeD="1" sel="1" val="0"/>
</file>

<file path=xl/ctrlProps/ctrlProp330.xml><?xml version="1.0" encoding="utf-8"?>
<formControlPr xmlns="http://schemas.microsoft.com/office/spreadsheetml/2009/9/main" objectType="Drop" dropLines="20" dropStyle="combo" dx="16" fmlaLink="$D$63" fmlaRange="LU_FLU_RECC_PRICES_GROUP_D" noThreeD="1" sel="1" val="0"/>
</file>

<file path=xl/ctrlProps/ctrlProp331.xml><?xml version="1.0" encoding="utf-8"?>
<formControlPr xmlns="http://schemas.microsoft.com/office/spreadsheetml/2009/9/main" objectType="Drop" dropLines="20" dropStyle="combo" dx="16" fmlaLink="$D$64" fmlaRange="LU_FLU_RECC_PRICES_GROUP_D" noThreeD="1" sel="1" val="0"/>
</file>

<file path=xl/ctrlProps/ctrlProp332.xml><?xml version="1.0" encoding="utf-8"?>
<formControlPr xmlns="http://schemas.microsoft.com/office/spreadsheetml/2009/9/main" objectType="Drop" dropLines="20" dropStyle="combo" dx="16" fmlaLink="$D$65" fmlaRange="LU_FLU_RECC_PRICES_GROUP_D" noThreeD="1" sel="1" val="0"/>
</file>

<file path=xl/ctrlProps/ctrlProp333.xml><?xml version="1.0" encoding="utf-8"?>
<formControlPr xmlns="http://schemas.microsoft.com/office/spreadsheetml/2009/9/main" objectType="Drop" dropLines="20" dropStyle="combo" dx="16" fmlaLink="$D$66" fmlaRange="LU_FLU_RECC_PRICES_GROUP_D" noThreeD="1" sel="1" val="0"/>
</file>

<file path=xl/ctrlProps/ctrlProp334.xml><?xml version="1.0" encoding="utf-8"?>
<formControlPr xmlns="http://schemas.microsoft.com/office/spreadsheetml/2009/9/main" objectType="Drop" dropLines="20" dropStyle="combo" dx="16" fmlaLink="$D$67" fmlaRange="LU_FLU_RECC_PRICES_GROUP_D" noThreeD="1" sel="1" val="0"/>
</file>

<file path=xl/ctrlProps/ctrlProp335.xml><?xml version="1.0" encoding="utf-8"?>
<formControlPr xmlns="http://schemas.microsoft.com/office/spreadsheetml/2009/9/main" objectType="Drop" dropLines="20" dropStyle="combo" dx="16" fmlaLink="$D$68" fmlaRange="LU_FLU_RECC_PRICES_GROUP_D" noThreeD="1" sel="1" val="0"/>
</file>

<file path=xl/ctrlProps/ctrlProp336.xml><?xml version="1.0" encoding="utf-8"?>
<formControlPr xmlns="http://schemas.microsoft.com/office/spreadsheetml/2009/9/main" objectType="Drop" dropLines="20" dropStyle="combo" dx="16" fmlaLink="$D$69" fmlaRange="LU_FLU_RECC_PRICES_GROUP_D" noThreeD="1" sel="1" val="0"/>
</file>

<file path=xl/ctrlProps/ctrlProp337.xml><?xml version="1.0" encoding="utf-8"?>
<formControlPr xmlns="http://schemas.microsoft.com/office/spreadsheetml/2009/9/main" objectType="Drop" dropLines="20" dropStyle="combo" dx="16" fmlaLink="$D$74" fmlaRange="LU_FLU_RECC_PRICES_GROUP_E" noThreeD="1" sel="1" val="0"/>
</file>

<file path=xl/ctrlProps/ctrlProp338.xml><?xml version="1.0" encoding="utf-8"?>
<formControlPr xmlns="http://schemas.microsoft.com/office/spreadsheetml/2009/9/main" objectType="Drop" dropLines="20" dropStyle="combo" dx="16" fmlaLink="$D$75" fmlaRange="LU_FLU_RECC_PRICES_GROUP_E" noThreeD="1" sel="1" val="0"/>
</file>

<file path=xl/ctrlProps/ctrlProp339.xml><?xml version="1.0" encoding="utf-8"?>
<formControlPr xmlns="http://schemas.microsoft.com/office/spreadsheetml/2009/9/main" objectType="Drop" dropLines="20" dropStyle="combo" dx="16" fmlaLink="$D$76" fmlaRange="LU_FLU_RECC_PRICES_GROUP_E" noThreeD="1" sel="1" val="0"/>
</file>

<file path=xl/ctrlProps/ctrlProp34.xml><?xml version="1.0" encoding="utf-8"?>
<formControlPr xmlns="http://schemas.microsoft.com/office/spreadsheetml/2009/9/main" objectType="Drop" dropLines="20" dropStyle="combo" dx="16" fmlaLink="$G$74" fmlaRange="LU_FLU_Curr_Code" noThreeD="1" sel="1" val="0"/>
</file>

<file path=xl/ctrlProps/ctrlProp340.xml><?xml version="1.0" encoding="utf-8"?>
<formControlPr xmlns="http://schemas.microsoft.com/office/spreadsheetml/2009/9/main" objectType="Drop" dropLines="20" dropStyle="combo" dx="16" fmlaLink="$D$77" fmlaRange="LU_FLU_RECC_PRICES_GROUP_E" noThreeD="1" sel="1" val="0"/>
</file>

<file path=xl/ctrlProps/ctrlProp341.xml><?xml version="1.0" encoding="utf-8"?>
<formControlPr xmlns="http://schemas.microsoft.com/office/spreadsheetml/2009/9/main" objectType="Drop" dropLines="20" dropStyle="combo" dx="16" fmlaLink="$D$78" fmlaRange="LU_FLU_RECC_PRICES_GROUP_E" noThreeD="1" sel="1" val="0"/>
</file>

<file path=xl/ctrlProps/ctrlProp342.xml><?xml version="1.0" encoding="utf-8"?>
<formControlPr xmlns="http://schemas.microsoft.com/office/spreadsheetml/2009/9/main" objectType="Drop" dropLines="20" dropStyle="combo" dx="16" fmlaLink="$D$79" fmlaRange="LU_FLU_RECC_PRICES_GROUP_E" noThreeD="1" sel="1" val="0"/>
</file>

<file path=xl/ctrlProps/ctrlProp343.xml><?xml version="1.0" encoding="utf-8"?>
<formControlPr xmlns="http://schemas.microsoft.com/office/spreadsheetml/2009/9/main" objectType="Drop" dropLines="20" dropStyle="combo" dx="16" fmlaLink="$D$80" fmlaRange="LU_FLU_RECC_PRICES_GROUP_E" noThreeD="1" sel="1" val="0"/>
</file>

<file path=xl/ctrlProps/ctrlProp344.xml><?xml version="1.0" encoding="utf-8"?>
<formControlPr xmlns="http://schemas.microsoft.com/office/spreadsheetml/2009/9/main" objectType="Drop" dropLines="20" dropStyle="combo" dx="16" fmlaLink="$D$81" fmlaRange="LU_FLU_RECC_PRICES_GROUP_E" noThreeD="1" sel="1" val="0"/>
</file>

<file path=xl/ctrlProps/ctrlProp345.xml><?xml version="1.0" encoding="utf-8"?>
<formControlPr xmlns="http://schemas.microsoft.com/office/spreadsheetml/2009/9/main" objectType="Drop" dropLines="20" dropStyle="combo" dx="16" fmlaLink="$D$82" fmlaRange="LU_FLU_RECC_PRICES_GROUP_E" noThreeD="1" sel="1" val="0"/>
</file>

<file path=xl/ctrlProps/ctrlProp346.xml><?xml version="1.0" encoding="utf-8"?>
<formControlPr xmlns="http://schemas.microsoft.com/office/spreadsheetml/2009/9/main" objectType="Drop" dropLines="20" dropStyle="combo" dx="16" fmlaLink="$D$83" fmlaRange="LU_FLU_RECC_PRICES_GROUP_E" noThreeD="1" sel="1" val="0"/>
</file>

<file path=xl/ctrlProps/ctrlProp347.xml><?xml version="1.0" encoding="utf-8"?>
<formControlPr xmlns="http://schemas.microsoft.com/office/spreadsheetml/2009/9/main" objectType="Drop" dropLines="20" dropStyle="combo" dx="16" fmlaLink="$D$84" fmlaRange="LU_FLU_RECC_PRICES_GROUP_E" noThreeD="1" sel="1" val="0"/>
</file>

<file path=xl/ctrlProps/ctrlProp348.xml><?xml version="1.0" encoding="utf-8"?>
<formControlPr xmlns="http://schemas.microsoft.com/office/spreadsheetml/2009/9/main" objectType="Drop" dropLines="20" dropStyle="combo" dx="16" fmlaLink="$D$85" fmlaRange="LU_FLU_RECC_PRICES_GROUP_E" noThreeD="1" sel="1" val="0"/>
</file>

<file path=xl/ctrlProps/ctrlProp349.xml><?xml version="1.0" encoding="utf-8"?>
<formControlPr xmlns="http://schemas.microsoft.com/office/spreadsheetml/2009/9/main" objectType="Drop" dropLines="20" dropStyle="combo" dx="16" fmlaLink="$D$86" fmlaRange="LU_FLU_RECC_PRICES_GROUP_E" noThreeD="1" sel="1" val="0"/>
</file>

<file path=xl/ctrlProps/ctrlProp35.xml><?xml version="1.0" encoding="utf-8"?>
<formControlPr xmlns="http://schemas.microsoft.com/office/spreadsheetml/2009/9/main" objectType="Drop" dropLines="20" dropStyle="combo" dx="16" fmlaLink="$F$165" fmlaRange="LU_FLU_CAP_PRICES_GROUP_C" noThreeD="1" sel="5" val="0"/>
</file>

<file path=xl/ctrlProps/ctrlProp350.xml><?xml version="1.0" encoding="utf-8"?>
<formControlPr xmlns="http://schemas.microsoft.com/office/spreadsheetml/2009/9/main" objectType="Drop" dropLines="20" dropStyle="combo" dx="16" fmlaLink="$D$87" fmlaRange="LU_FLU_RECC_PRICES_GROUP_E" noThreeD="1" sel="1" val="0"/>
</file>

<file path=xl/ctrlProps/ctrlProp351.xml><?xml version="1.0" encoding="utf-8"?>
<formControlPr xmlns="http://schemas.microsoft.com/office/spreadsheetml/2009/9/main" objectType="Drop" dropLines="20" dropStyle="combo" dx="16" fmlaLink="$D$88" fmlaRange="LU_FLU_RECC_PRICES_GROUP_E" noThreeD="1" sel="1" val="0"/>
</file>

<file path=xl/ctrlProps/ctrlProp352.xml><?xml version="1.0" encoding="utf-8"?>
<formControlPr xmlns="http://schemas.microsoft.com/office/spreadsheetml/2009/9/main" objectType="Drop" dropLines="20" dropStyle="combo" dx="16" fmlaLink="$D$187" fmlaRange="LU_FLU_RECC_PRICES_GROUP_A" noThreeD="1" sel="19" val="5"/>
</file>

<file path=xl/ctrlProps/ctrlProp353.xml><?xml version="1.0" encoding="utf-8"?>
<formControlPr xmlns="http://schemas.microsoft.com/office/spreadsheetml/2009/9/main" objectType="Drop" dropLines="20" dropStyle="combo" dx="16" fmlaLink="$D$188" fmlaRange="LU_FLU_RECC_PRICES_GROUP_A" noThreeD="1" sel="1" val="0"/>
</file>

<file path=xl/ctrlProps/ctrlProp354.xml><?xml version="1.0" encoding="utf-8"?>
<formControlPr xmlns="http://schemas.microsoft.com/office/spreadsheetml/2009/9/main" objectType="Drop" dropLines="20" dropStyle="combo" dx="16" fmlaLink="$D$189" fmlaRange="LU_FLU_RECC_PRICES_GROUP_A" noThreeD="1" sel="7" val="0"/>
</file>

<file path=xl/ctrlProps/ctrlProp355.xml><?xml version="1.0" encoding="utf-8"?>
<formControlPr xmlns="http://schemas.microsoft.com/office/spreadsheetml/2009/9/main" objectType="Drop" dropLines="20" dropStyle="combo" dx="16" fmlaLink="$D$190" fmlaRange="LU_FLU_RECC_PRICES_GROUP_A" noThreeD="1" sel="1" val="0"/>
</file>

<file path=xl/ctrlProps/ctrlProp356.xml><?xml version="1.0" encoding="utf-8"?>
<formControlPr xmlns="http://schemas.microsoft.com/office/spreadsheetml/2009/9/main" objectType="Drop" dropLines="20" dropStyle="combo" dx="16" fmlaLink="$D$191" fmlaRange="LU_FLU_RECC_PRICES_GROUP_A" noThreeD="1" sel="1" val="0"/>
</file>

<file path=xl/ctrlProps/ctrlProp357.xml><?xml version="1.0" encoding="utf-8"?>
<formControlPr xmlns="http://schemas.microsoft.com/office/spreadsheetml/2009/9/main" objectType="Drop" dropLines="20" dropStyle="combo" dx="16" fmlaLink="$D$192" fmlaRange="LU_FLU_RECC_PRICES_GROUP_A" noThreeD="1" sel="1" val="0"/>
</file>

<file path=xl/ctrlProps/ctrlProp358.xml><?xml version="1.0" encoding="utf-8"?>
<formControlPr xmlns="http://schemas.microsoft.com/office/spreadsheetml/2009/9/main" objectType="Drop" dropLines="20" dropStyle="combo" dx="16" fmlaLink="$D$193" fmlaRange="LU_FLU_RECC_PRICES_GROUP_A" noThreeD="1" sel="1" val="0"/>
</file>

<file path=xl/ctrlProps/ctrlProp359.xml><?xml version="1.0" encoding="utf-8"?>
<formControlPr xmlns="http://schemas.microsoft.com/office/spreadsheetml/2009/9/main" objectType="Drop" dropLines="20" dropStyle="combo" dx="16" fmlaLink="$D$194" fmlaRange="LU_FLU_RECC_PRICES_GROUP_A" noThreeD="1" sel="1" val="0"/>
</file>

<file path=xl/ctrlProps/ctrlProp36.xml><?xml version="1.0" encoding="utf-8"?>
<formControlPr xmlns="http://schemas.microsoft.com/office/spreadsheetml/2009/9/main" objectType="Drop" dropLines="20" dropStyle="combo" dx="16" fmlaLink="$F$166" fmlaRange="LU_FLU_CAP_PRICES_GROUP_C" noThreeD="1" sel="1" val="0"/>
</file>

<file path=xl/ctrlProps/ctrlProp360.xml><?xml version="1.0" encoding="utf-8"?>
<formControlPr xmlns="http://schemas.microsoft.com/office/spreadsheetml/2009/9/main" objectType="Drop" dropLines="20" dropStyle="combo" dx="16" fmlaLink="$D$195" fmlaRange="LU_FLU_RECC_PRICES_GROUP_A" noThreeD="1" sel="1" val="0"/>
</file>

<file path=xl/ctrlProps/ctrlProp361.xml><?xml version="1.0" encoding="utf-8"?>
<formControlPr xmlns="http://schemas.microsoft.com/office/spreadsheetml/2009/9/main" objectType="Drop" dropLines="20" dropStyle="combo" dx="16" fmlaLink="$D$196" fmlaRange="LU_FLU_RECC_PRICES_GROUP_A" noThreeD="1" sel="1" val="0"/>
</file>

<file path=xl/ctrlProps/ctrlProp362.xml><?xml version="1.0" encoding="utf-8"?>
<formControlPr xmlns="http://schemas.microsoft.com/office/spreadsheetml/2009/9/main" objectType="Drop" dropLines="20" dropStyle="combo" dx="16" fmlaLink="$D$197" fmlaRange="LU_FLU_RECC_PRICES_GROUP_A" noThreeD="1" sel="1" val="0"/>
</file>

<file path=xl/ctrlProps/ctrlProp363.xml><?xml version="1.0" encoding="utf-8"?>
<formControlPr xmlns="http://schemas.microsoft.com/office/spreadsheetml/2009/9/main" objectType="Drop" dropLines="20" dropStyle="combo" dx="16" fmlaLink="$D$198" fmlaRange="LU_FLU_RECC_PRICES_GROUP_A" noThreeD="1" sel="1" val="0"/>
</file>

<file path=xl/ctrlProps/ctrlProp364.xml><?xml version="1.0" encoding="utf-8"?>
<formControlPr xmlns="http://schemas.microsoft.com/office/spreadsheetml/2009/9/main" objectType="Drop" dropLines="20" dropStyle="combo" dx="16" fmlaLink="$D$199" fmlaRange="LU_FLU_RECC_PRICES_GROUP_A" noThreeD="1" sel="1" val="0"/>
</file>

<file path=xl/ctrlProps/ctrlProp365.xml><?xml version="1.0" encoding="utf-8"?>
<formControlPr xmlns="http://schemas.microsoft.com/office/spreadsheetml/2009/9/main" objectType="Drop" dropLines="20" dropStyle="combo" dx="16" fmlaLink="$D$200" fmlaRange="LU_FLU_RECC_PRICES_GROUP_A" noThreeD="1" sel="1" val="0"/>
</file>

<file path=xl/ctrlProps/ctrlProp366.xml><?xml version="1.0" encoding="utf-8"?>
<formControlPr xmlns="http://schemas.microsoft.com/office/spreadsheetml/2009/9/main" objectType="Drop" dropLines="20" dropStyle="combo" dx="16" fmlaLink="$D$201" fmlaRange="LU_FLU_RECC_PRICES_GROUP_A" noThreeD="1" sel="1" val="0"/>
</file>

<file path=xl/ctrlProps/ctrlProp367.xml><?xml version="1.0" encoding="utf-8"?>
<formControlPr xmlns="http://schemas.microsoft.com/office/spreadsheetml/2009/9/main" objectType="Drop" dropLines="20" dropStyle="combo" dx="16" fmlaLink="$I$187" fmlaRange="LU_FLU_Personnel_Unit_Cost_Categories" noThreeD="1" sel="2" val="0"/>
</file>

<file path=xl/ctrlProps/ctrlProp368.xml><?xml version="1.0" encoding="utf-8"?>
<formControlPr xmlns="http://schemas.microsoft.com/office/spreadsheetml/2009/9/main" objectType="Drop" dropLines="20" dropStyle="combo" dx="16" fmlaLink="$I$188" fmlaRange="LU_FLU_Personnel_Unit_Cost_Categories" noThreeD="1" sel="1" val="0"/>
</file>

<file path=xl/ctrlProps/ctrlProp369.xml><?xml version="1.0" encoding="utf-8"?>
<formControlPr xmlns="http://schemas.microsoft.com/office/spreadsheetml/2009/9/main" objectType="Drop" dropLines="20" dropStyle="combo" dx="16" fmlaLink="$I$189" fmlaRange="LU_FLU_Personnel_Unit_Cost_Categories" noThreeD="1" sel="1" val="0"/>
</file>

<file path=xl/ctrlProps/ctrlProp37.xml><?xml version="1.0" encoding="utf-8"?>
<formControlPr xmlns="http://schemas.microsoft.com/office/spreadsheetml/2009/9/main" objectType="Drop" dropLines="20" dropStyle="combo" dx="16" fmlaLink="$F$167" fmlaRange="LU_FLU_CAP_PRICES_GROUP_C" noThreeD="1" sel="1" val="0"/>
</file>

<file path=xl/ctrlProps/ctrlProp370.xml><?xml version="1.0" encoding="utf-8"?>
<formControlPr xmlns="http://schemas.microsoft.com/office/spreadsheetml/2009/9/main" objectType="Drop" dropLines="20" dropStyle="combo" dx="16" fmlaLink="$I$190" fmlaRange="LU_FLU_Personnel_Unit_Cost_Categories" noThreeD="1" sel="1" val="0"/>
</file>

<file path=xl/ctrlProps/ctrlProp371.xml><?xml version="1.0" encoding="utf-8"?>
<formControlPr xmlns="http://schemas.microsoft.com/office/spreadsheetml/2009/9/main" objectType="Drop" dropLines="20" dropStyle="combo" dx="16" fmlaLink="$I$191" fmlaRange="LU_FLU_Personnel_Unit_Cost_Categories" noThreeD="1" sel="1" val="0"/>
</file>

<file path=xl/ctrlProps/ctrlProp372.xml><?xml version="1.0" encoding="utf-8"?>
<formControlPr xmlns="http://schemas.microsoft.com/office/spreadsheetml/2009/9/main" objectType="Drop" dropLines="20" dropStyle="combo" dx="16" fmlaLink="$I$192" fmlaRange="LU_FLU_Personnel_Unit_Cost_Categories" noThreeD="1" sel="1" val="0"/>
</file>

<file path=xl/ctrlProps/ctrlProp373.xml><?xml version="1.0" encoding="utf-8"?>
<formControlPr xmlns="http://schemas.microsoft.com/office/spreadsheetml/2009/9/main" objectType="Drop" dropLines="20" dropStyle="combo" dx="16" fmlaLink="$I$193" fmlaRange="LU_FLU_Personnel_Unit_Cost_Categories" noThreeD="1" sel="1" val="0"/>
</file>

<file path=xl/ctrlProps/ctrlProp374.xml><?xml version="1.0" encoding="utf-8"?>
<formControlPr xmlns="http://schemas.microsoft.com/office/spreadsheetml/2009/9/main" objectType="Drop" dropLines="20" dropStyle="combo" dx="16" fmlaLink="$I$194" fmlaRange="LU_FLU_Personnel_Unit_Cost_Categories" noThreeD="1" sel="1" val="0"/>
</file>

<file path=xl/ctrlProps/ctrlProp375.xml><?xml version="1.0" encoding="utf-8"?>
<formControlPr xmlns="http://schemas.microsoft.com/office/spreadsheetml/2009/9/main" objectType="Drop" dropLines="20" dropStyle="combo" dx="16" fmlaLink="$I$195" fmlaRange="LU_FLU_Personnel_Unit_Cost_Categories" noThreeD="1" sel="1" val="0"/>
</file>

<file path=xl/ctrlProps/ctrlProp376.xml><?xml version="1.0" encoding="utf-8"?>
<formControlPr xmlns="http://schemas.microsoft.com/office/spreadsheetml/2009/9/main" objectType="Drop" dropLines="20" dropStyle="combo" dx="16" fmlaLink="$I$196" fmlaRange="LU_FLU_Personnel_Unit_Cost_Categories" noThreeD="1" sel="1" val="0"/>
</file>

<file path=xl/ctrlProps/ctrlProp377.xml><?xml version="1.0" encoding="utf-8"?>
<formControlPr xmlns="http://schemas.microsoft.com/office/spreadsheetml/2009/9/main" objectType="Drop" dropLines="20" dropStyle="combo" dx="16" fmlaLink="$I$197" fmlaRange="LU_FLU_Personnel_Unit_Cost_Categories" noThreeD="1" sel="1" val="0"/>
</file>

<file path=xl/ctrlProps/ctrlProp378.xml><?xml version="1.0" encoding="utf-8"?>
<formControlPr xmlns="http://schemas.microsoft.com/office/spreadsheetml/2009/9/main" objectType="Drop" dropLines="20" dropStyle="combo" dx="16" fmlaLink="$I$198" fmlaRange="LU_FLU_Personnel_Unit_Cost_Categories" noThreeD="1" sel="1" val="0"/>
</file>

<file path=xl/ctrlProps/ctrlProp379.xml><?xml version="1.0" encoding="utf-8"?>
<formControlPr xmlns="http://schemas.microsoft.com/office/spreadsheetml/2009/9/main" objectType="Drop" dropLines="20" dropStyle="combo" dx="16" fmlaLink="$I$199" fmlaRange="LU_FLU_Personnel_Unit_Cost_Categories" noThreeD="1" sel="1" val="0"/>
</file>

<file path=xl/ctrlProps/ctrlProp38.xml><?xml version="1.0" encoding="utf-8"?>
<formControlPr xmlns="http://schemas.microsoft.com/office/spreadsheetml/2009/9/main" objectType="Drop" dropLines="20" dropStyle="combo" dx="16" fmlaLink="$F$168" fmlaRange="LU_FLU_CAP_PRICES_GROUP_C" noThreeD="1" sel="1" val="0"/>
</file>

<file path=xl/ctrlProps/ctrlProp380.xml><?xml version="1.0" encoding="utf-8"?>
<formControlPr xmlns="http://schemas.microsoft.com/office/spreadsheetml/2009/9/main" objectType="Drop" dropLines="20" dropStyle="combo" dx="16" fmlaLink="$I$200" fmlaRange="LU_FLU_Personnel_Unit_Cost_Categories" noThreeD="1" sel="1" val="0"/>
</file>

<file path=xl/ctrlProps/ctrlProp381.xml><?xml version="1.0" encoding="utf-8"?>
<formControlPr xmlns="http://schemas.microsoft.com/office/spreadsheetml/2009/9/main" objectType="Drop" dropLines="20" dropStyle="combo" dx="16" fmlaLink="$I$201" fmlaRange="LU_FLU_Personnel_Unit_Cost_Categories" noThreeD="1" sel="1" val="0"/>
</file>

<file path=xl/ctrlProps/ctrlProp382.xml><?xml version="1.0" encoding="utf-8"?>
<formControlPr xmlns="http://schemas.microsoft.com/office/spreadsheetml/2009/9/main" objectType="Drop" dropLines="20" dropStyle="combo" dx="16" fmlaLink="$D$206" fmlaRange="LU_FLU_RECC_PRICES_GROUP_C" noThreeD="1" sel="1" val="0"/>
</file>

<file path=xl/ctrlProps/ctrlProp383.xml><?xml version="1.0" encoding="utf-8"?>
<formControlPr xmlns="http://schemas.microsoft.com/office/spreadsheetml/2009/9/main" objectType="Drop" dropLines="20" dropStyle="combo" dx="16" fmlaLink="$D$207" fmlaRange="LU_FLU_RECC_PRICES_GROUP_C" noThreeD="1" sel="1" val="0"/>
</file>

<file path=xl/ctrlProps/ctrlProp384.xml><?xml version="1.0" encoding="utf-8"?>
<formControlPr xmlns="http://schemas.microsoft.com/office/spreadsheetml/2009/9/main" objectType="Drop" dropLines="20" dropStyle="combo" dx="16" fmlaLink="$D$208" fmlaRange="LU_FLU_RECC_PRICES_GROUP_C" noThreeD="1" sel="1" val="0"/>
</file>

<file path=xl/ctrlProps/ctrlProp385.xml><?xml version="1.0" encoding="utf-8"?>
<formControlPr xmlns="http://schemas.microsoft.com/office/spreadsheetml/2009/9/main" objectType="Drop" dropLines="20" dropStyle="combo" dx="16" fmlaLink="$D$209" fmlaRange="LU_FLU_RECC_PRICES_GROUP_C" noThreeD="1" sel="1" val="0"/>
</file>

<file path=xl/ctrlProps/ctrlProp386.xml><?xml version="1.0" encoding="utf-8"?>
<formControlPr xmlns="http://schemas.microsoft.com/office/spreadsheetml/2009/9/main" objectType="Drop" dropLines="20" dropStyle="combo" dx="16" fmlaLink="$D$210" fmlaRange="LU_FLU_RECC_PRICES_GROUP_C" noThreeD="1" sel="1" val="0"/>
</file>

<file path=xl/ctrlProps/ctrlProp387.xml><?xml version="1.0" encoding="utf-8"?>
<formControlPr xmlns="http://schemas.microsoft.com/office/spreadsheetml/2009/9/main" objectType="Drop" dropLines="20" dropStyle="combo" dx="16" fmlaLink="$D$211" fmlaRange="LU_FLU_RECC_PRICES_GROUP_C" noThreeD="1" sel="1" val="0"/>
</file>

<file path=xl/ctrlProps/ctrlProp388.xml><?xml version="1.0" encoding="utf-8"?>
<formControlPr xmlns="http://schemas.microsoft.com/office/spreadsheetml/2009/9/main" objectType="Drop" dropLines="20" dropStyle="combo" dx="16" fmlaLink="$D$212" fmlaRange="LU_FLU_RECC_PRICES_GROUP_C" noThreeD="1" sel="1" val="0"/>
</file>

<file path=xl/ctrlProps/ctrlProp389.xml><?xml version="1.0" encoding="utf-8"?>
<formControlPr xmlns="http://schemas.microsoft.com/office/spreadsheetml/2009/9/main" objectType="Drop" dropLines="20" dropStyle="combo" dx="16" fmlaLink="$D$213" fmlaRange="LU_FLU_RECC_PRICES_GROUP_C" noThreeD="1" sel="1" val="0"/>
</file>

<file path=xl/ctrlProps/ctrlProp39.xml><?xml version="1.0" encoding="utf-8"?>
<formControlPr xmlns="http://schemas.microsoft.com/office/spreadsheetml/2009/9/main" objectType="Drop" dropLines="20" dropStyle="combo" dx="16" fmlaLink="$G$176" fmlaRange="LU_FLU_Curr_Code" noThreeD="1" sel="1" val="0"/>
</file>

<file path=xl/ctrlProps/ctrlProp390.xml><?xml version="1.0" encoding="utf-8"?>
<formControlPr xmlns="http://schemas.microsoft.com/office/spreadsheetml/2009/9/main" objectType="Drop" dropLines="20" dropStyle="combo" dx="16" fmlaLink="$D$214" fmlaRange="LU_FLU_RECC_PRICES_GROUP_C" noThreeD="1" sel="1" val="0"/>
</file>

<file path=xl/ctrlProps/ctrlProp391.xml><?xml version="1.0" encoding="utf-8"?>
<formControlPr xmlns="http://schemas.microsoft.com/office/spreadsheetml/2009/9/main" objectType="Drop" dropLines="20" dropStyle="combo" dx="16" fmlaLink="$D$215" fmlaRange="LU_FLU_RECC_PRICES_GROUP_C" noThreeD="1" sel="1" val="0"/>
</file>

<file path=xl/ctrlProps/ctrlProp392.xml><?xml version="1.0" encoding="utf-8"?>
<formControlPr xmlns="http://schemas.microsoft.com/office/spreadsheetml/2009/9/main" objectType="Drop" dropLines="20" dropStyle="combo" dx="16" fmlaLink="$D$216" fmlaRange="LU_FLU_RECC_PRICES_GROUP_C" noThreeD="1" sel="1" val="0"/>
</file>

<file path=xl/ctrlProps/ctrlProp393.xml><?xml version="1.0" encoding="utf-8"?>
<formControlPr xmlns="http://schemas.microsoft.com/office/spreadsheetml/2009/9/main" objectType="Drop" dropLines="20" dropStyle="combo" dx="16" fmlaLink="$D$217" fmlaRange="LU_FLU_RECC_PRICES_GROUP_C" noThreeD="1" sel="1" val="0"/>
</file>

<file path=xl/ctrlProps/ctrlProp394.xml><?xml version="1.0" encoding="utf-8"?>
<formControlPr xmlns="http://schemas.microsoft.com/office/spreadsheetml/2009/9/main" objectType="Drop" dropLines="20" dropStyle="combo" dx="16" fmlaLink="$D$218" fmlaRange="LU_FLU_RECC_PRICES_GROUP_C" noThreeD="1" sel="1" val="0"/>
</file>

<file path=xl/ctrlProps/ctrlProp395.xml><?xml version="1.0" encoding="utf-8"?>
<formControlPr xmlns="http://schemas.microsoft.com/office/spreadsheetml/2009/9/main" objectType="Drop" dropLines="20" dropStyle="combo" dx="16" fmlaLink="$D$219" fmlaRange="LU_FLU_RECC_PRICES_GROUP_C" noThreeD="1" sel="1" val="0"/>
</file>

<file path=xl/ctrlProps/ctrlProp396.xml><?xml version="1.0" encoding="utf-8"?>
<formControlPr xmlns="http://schemas.microsoft.com/office/spreadsheetml/2009/9/main" objectType="Drop" dropLines="20" dropStyle="combo" dx="16" fmlaLink="$D$220" fmlaRange="LU_FLU_RECC_PRICES_GROUP_C" noThreeD="1" sel="1" val="0"/>
</file>

<file path=xl/ctrlProps/ctrlProp397.xml><?xml version="1.0" encoding="utf-8"?>
<formControlPr xmlns="http://schemas.microsoft.com/office/spreadsheetml/2009/9/main" objectType="Drop" dropLines="20" dropStyle="combo" dx="16" fmlaLink="$D$225" fmlaRange="LU_FLU_RECC_PRICES_GROUP_D" noThreeD="1" sel="1" val="0"/>
</file>

<file path=xl/ctrlProps/ctrlProp398.xml><?xml version="1.0" encoding="utf-8"?>
<formControlPr xmlns="http://schemas.microsoft.com/office/spreadsheetml/2009/9/main" objectType="Drop" dropLines="20" dropStyle="combo" dx="16" fmlaLink="$D$226" fmlaRange="LU_FLU_RECC_PRICES_GROUP_D" noThreeD="1" sel="1" val="0"/>
</file>

<file path=xl/ctrlProps/ctrlProp399.xml><?xml version="1.0" encoding="utf-8"?>
<formControlPr xmlns="http://schemas.microsoft.com/office/spreadsheetml/2009/9/main" objectType="Drop" dropLines="20" dropStyle="combo" dx="16" fmlaLink="$D$227" fmlaRange="LU_FLU_RECC_PRICES_GROUP_D" noThreeD="1" sel="1" val="0"/>
</file>

<file path=xl/ctrlProps/ctrlProp4.xml><?xml version="1.0" encoding="utf-8"?>
<formControlPr xmlns="http://schemas.microsoft.com/office/spreadsheetml/2009/9/main" objectType="Drop" dropLines="2" dropStyle="combo" dx="16" fmlaLink="$N$20" fmlaRange="LU_FLU_Curr_Code" noThreeD="1" sel="1" val="0"/>
</file>

<file path=xl/ctrlProps/ctrlProp40.xml><?xml version="1.0" encoding="utf-8"?>
<formControlPr xmlns="http://schemas.microsoft.com/office/spreadsheetml/2009/9/main" objectType="Drop" dropLines="20" dropStyle="combo" dx="16" fmlaLink="$F$169" fmlaRange="LU_FLU_CAP_PRICES_GROUP_C" noThreeD="1" sel="1" val="0"/>
</file>

<file path=xl/ctrlProps/ctrlProp400.xml><?xml version="1.0" encoding="utf-8"?>
<formControlPr xmlns="http://schemas.microsoft.com/office/spreadsheetml/2009/9/main" objectType="Drop" dropLines="20" dropStyle="combo" dx="16" fmlaLink="$D$228" fmlaRange="LU_FLU_RECC_PRICES_GROUP_D" noThreeD="1" sel="1" val="0"/>
</file>

<file path=xl/ctrlProps/ctrlProp401.xml><?xml version="1.0" encoding="utf-8"?>
<formControlPr xmlns="http://schemas.microsoft.com/office/spreadsheetml/2009/9/main" objectType="Drop" dropLines="20" dropStyle="combo" dx="16" fmlaLink="$D$229" fmlaRange="LU_FLU_RECC_PRICES_GROUP_D" noThreeD="1" sel="1" val="0"/>
</file>

<file path=xl/ctrlProps/ctrlProp402.xml><?xml version="1.0" encoding="utf-8"?>
<formControlPr xmlns="http://schemas.microsoft.com/office/spreadsheetml/2009/9/main" objectType="Drop" dropLines="20" dropStyle="combo" dx="16" fmlaLink="$D$230" fmlaRange="LU_FLU_RECC_PRICES_GROUP_D" noThreeD="1" sel="1" val="0"/>
</file>

<file path=xl/ctrlProps/ctrlProp403.xml><?xml version="1.0" encoding="utf-8"?>
<formControlPr xmlns="http://schemas.microsoft.com/office/spreadsheetml/2009/9/main" objectType="Drop" dropLines="20" dropStyle="combo" dx="16" fmlaLink="$D$231" fmlaRange="LU_FLU_RECC_PRICES_GROUP_D" noThreeD="1" sel="1" val="0"/>
</file>

<file path=xl/ctrlProps/ctrlProp404.xml><?xml version="1.0" encoding="utf-8"?>
<formControlPr xmlns="http://schemas.microsoft.com/office/spreadsheetml/2009/9/main" objectType="Drop" dropLines="20" dropStyle="combo" dx="16" fmlaLink="$D$232" fmlaRange="LU_FLU_RECC_PRICES_GROUP_D" noThreeD="1" sel="1" val="0"/>
</file>

<file path=xl/ctrlProps/ctrlProp405.xml><?xml version="1.0" encoding="utf-8"?>
<formControlPr xmlns="http://schemas.microsoft.com/office/spreadsheetml/2009/9/main" objectType="Drop" dropLines="20" dropStyle="combo" dx="16" fmlaLink="$D$233" fmlaRange="LU_FLU_RECC_PRICES_GROUP_D" noThreeD="1" sel="1" val="0"/>
</file>

<file path=xl/ctrlProps/ctrlProp406.xml><?xml version="1.0" encoding="utf-8"?>
<formControlPr xmlns="http://schemas.microsoft.com/office/spreadsheetml/2009/9/main" objectType="Drop" dropLines="20" dropStyle="combo" dx="16" fmlaLink="$D$234" fmlaRange="LU_FLU_RECC_PRICES_GROUP_D" noThreeD="1" sel="1" val="0"/>
</file>

<file path=xl/ctrlProps/ctrlProp407.xml><?xml version="1.0" encoding="utf-8"?>
<formControlPr xmlns="http://schemas.microsoft.com/office/spreadsheetml/2009/9/main" objectType="Drop" dropLines="20" dropStyle="combo" dx="16" fmlaLink="$D$235" fmlaRange="LU_FLU_RECC_PRICES_GROUP_D" noThreeD="1" sel="1" val="0"/>
</file>

<file path=xl/ctrlProps/ctrlProp408.xml><?xml version="1.0" encoding="utf-8"?>
<formControlPr xmlns="http://schemas.microsoft.com/office/spreadsheetml/2009/9/main" objectType="Drop" dropLines="20" dropStyle="combo" dx="16" fmlaLink="$D$236" fmlaRange="LU_FLU_RECC_PRICES_GROUP_D" noThreeD="1" sel="1" val="0"/>
</file>

<file path=xl/ctrlProps/ctrlProp409.xml><?xml version="1.0" encoding="utf-8"?>
<formControlPr xmlns="http://schemas.microsoft.com/office/spreadsheetml/2009/9/main" objectType="Drop" dropLines="20" dropStyle="combo" dx="16" fmlaLink="$D$237" fmlaRange="LU_FLU_RECC_PRICES_GROUP_D" noThreeD="1" sel="1" val="0"/>
</file>

<file path=xl/ctrlProps/ctrlProp41.xml><?xml version="1.0" encoding="utf-8"?>
<formControlPr xmlns="http://schemas.microsoft.com/office/spreadsheetml/2009/9/main" objectType="Drop" dropLines="20" dropStyle="combo" dx="16" fmlaLink="$F$63" fmlaRange="LU_FLU_CAP_PRICES_GROUP_C" noThreeD="1" sel="2" val="0"/>
</file>

<file path=xl/ctrlProps/ctrlProp410.xml><?xml version="1.0" encoding="utf-8"?>
<formControlPr xmlns="http://schemas.microsoft.com/office/spreadsheetml/2009/9/main" objectType="Drop" dropLines="20" dropStyle="combo" dx="16" fmlaLink="$D$238" fmlaRange="LU_FLU_RECC_PRICES_GROUP_D" noThreeD="1" sel="1" val="0"/>
</file>

<file path=xl/ctrlProps/ctrlProp411.xml><?xml version="1.0" encoding="utf-8"?>
<formControlPr xmlns="http://schemas.microsoft.com/office/spreadsheetml/2009/9/main" objectType="Drop" dropLines="20" dropStyle="combo" dx="16" fmlaLink="$D$239" fmlaRange="LU_FLU_RECC_PRICES_GROUP_D" noThreeD="1" sel="1" val="0"/>
</file>

<file path=xl/ctrlProps/ctrlProp412.xml><?xml version="1.0" encoding="utf-8"?>
<formControlPr xmlns="http://schemas.microsoft.com/office/spreadsheetml/2009/9/main" objectType="Drop" dropLines="20" dropStyle="combo" dx="16" fmlaLink="$D$244" fmlaRange="LU_FLU_RECC_PRICES_GROUP_E" noThreeD="1" sel="1" val="0"/>
</file>

<file path=xl/ctrlProps/ctrlProp413.xml><?xml version="1.0" encoding="utf-8"?>
<formControlPr xmlns="http://schemas.microsoft.com/office/spreadsheetml/2009/9/main" objectType="Drop" dropLines="20" dropStyle="combo" dx="16" fmlaLink="$D$245" fmlaRange="LU_FLU_RECC_PRICES_GROUP_E" noThreeD="1" sel="1" val="0"/>
</file>

<file path=xl/ctrlProps/ctrlProp414.xml><?xml version="1.0" encoding="utf-8"?>
<formControlPr xmlns="http://schemas.microsoft.com/office/spreadsheetml/2009/9/main" objectType="Drop" dropLines="20" dropStyle="combo" dx="16" fmlaLink="$D$246" fmlaRange="LU_FLU_RECC_PRICES_GROUP_E" noThreeD="1" sel="1" val="0"/>
</file>

<file path=xl/ctrlProps/ctrlProp415.xml><?xml version="1.0" encoding="utf-8"?>
<formControlPr xmlns="http://schemas.microsoft.com/office/spreadsheetml/2009/9/main" objectType="Drop" dropLines="20" dropStyle="combo" dx="16" fmlaLink="$D$247" fmlaRange="LU_FLU_RECC_PRICES_GROUP_E" noThreeD="1" sel="1" val="0"/>
</file>

<file path=xl/ctrlProps/ctrlProp416.xml><?xml version="1.0" encoding="utf-8"?>
<formControlPr xmlns="http://schemas.microsoft.com/office/spreadsheetml/2009/9/main" objectType="Drop" dropLines="20" dropStyle="combo" dx="16" fmlaLink="$D$248" fmlaRange="LU_FLU_RECC_PRICES_GROUP_E" noThreeD="1" sel="1" val="0"/>
</file>

<file path=xl/ctrlProps/ctrlProp417.xml><?xml version="1.0" encoding="utf-8"?>
<formControlPr xmlns="http://schemas.microsoft.com/office/spreadsheetml/2009/9/main" objectType="Drop" dropLines="20" dropStyle="combo" dx="16" fmlaLink="$D$249" fmlaRange="LU_FLU_RECC_PRICES_GROUP_E" noThreeD="1" sel="1" val="0"/>
</file>

<file path=xl/ctrlProps/ctrlProp418.xml><?xml version="1.0" encoding="utf-8"?>
<formControlPr xmlns="http://schemas.microsoft.com/office/spreadsheetml/2009/9/main" objectType="Drop" dropLines="20" dropStyle="combo" dx="16" fmlaLink="$D$250" fmlaRange="LU_FLU_RECC_PRICES_GROUP_E" noThreeD="1" sel="1" val="0"/>
</file>

<file path=xl/ctrlProps/ctrlProp419.xml><?xml version="1.0" encoding="utf-8"?>
<formControlPr xmlns="http://schemas.microsoft.com/office/spreadsheetml/2009/9/main" objectType="Drop" dropLines="20" dropStyle="combo" dx="16" fmlaLink="$D$251" fmlaRange="LU_FLU_RECC_PRICES_GROUP_E" noThreeD="1" sel="1" val="0"/>
</file>

<file path=xl/ctrlProps/ctrlProp42.xml><?xml version="1.0" encoding="utf-8"?>
<formControlPr xmlns="http://schemas.microsoft.com/office/spreadsheetml/2009/9/main" objectType="Drop" dropLines="20" dropStyle="combo" dx="16" fmlaLink="$F$64" fmlaRange="LU_FLU_CAP_PRICES_GROUP_C" noThreeD="1" sel="1" val="0"/>
</file>

<file path=xl/ctrlProps/ctrlProp420.xml><?xml version="1.0" encoding="utf-8"?>
<formControlPr xmlns="http://schemas.microsoft.com/office/spreadsheetml/2009/9/main" objectType="Drop" dropLines="20" dropStyle="combo" dx="16" fmlaLink="$D$252" fmlaRange="LU_FLU_RECC_PRICES_GROUP_E" noThreeD="1" sel="1" val="0"/>
</file>

<file path=xl/ctrlProps/ctrlProp421.xml><?xml version="1.0" encoding="utf-8"?>
<formControlPr xmlns="http://schemas.microsoft.com/office/spreadsheetml/2009/9/main" objectType="Drop" dropLines="20" dropStyle="combo" dx="16" fmlaLink="$D$253" fmlaRange="LU_FLU_RECC_PRICES_GROUP_E" noThreeD="1" sel="1" val="0"/>
</file>

<file path=xl/ctrlProps/ctrlProp422.xml><?xml version="1.0" encoding="utf-8"?>
<formControlPr xmlns="http://schemas.microsoft.com/office/spreadsheetml/2009/9/main" objectType="Drop" dropLines="20" dropStyle="combo" dx="16" fmlaLink="$D$254" fmlaRange="LU_FLU_RECC_PRICES_GROUP_E" noThreeD="1" sel="1" val="0"/>
</file>

<file path=xl/ctrlProps/ctrlProp423.xml><?xml version="1.0" encoding="utf-8"?>
<formControlPr xmlns="http://schemas.microsoft.com/office/spreadsheetml/2009/9/main" objectType="Drop" dropLines="20" dropStyle="combo" dx="16" fmlaLink="$D$255" fmlaRange="LU_FLU_RECC_PRICES_GROUP_E" noThreeD="1" sel="1" val="0"/>
</file>

<file path=xl/ctrlProps/ctrlProp424.xml><?xml version="1.0" encoding="utf-8"?>
<formControlPr xmlns="http://schemas.microsoft.com/office/spreadsheetml/2009/9/main" objectType="Drop" dropLines="20" dropStyle="combo" dx="16" fmlaLink="$D$256" fmlaRange="LU_FLU_RECC_PRICES_GROUP_E" noThreeD="1" sel="1" val="0"/>
</file>

<file path=xl/ctrlProps/ctrlProp425.xml><?xml version="1.0" encoding="utf-8"?>
<formControlPr xmlns="http://schemas.microsoft.com/office/spreadsheetml/2009/9/main" objectType="Drop" dropLines="20" dropStyle="combo" dx="16" fmlaLink="$D$257" fmlaRange="LU_FLU_RECC_PRICES_GROUP_E" noThreeD="1" sel="1" val="0"/>
</file>

<file path=xl/ctrlProps/ctrlProp426.xml><?xml version="1.0" encoding="utf-8"?>
<formControlPr xmlns="http://schemas.microsoft.com/office/spreadsheetml/2009/9/main" objectType="Drop" dropLines="20" dropStyle="combo" dx="16" fmlaLink="$D$258" fmlaRange="LU_FLU_RECC_PRICES_GROUP_E" noThreeD="1" sel="1" val="0"/>
</file>

<file path=xl/ctrlProps/ctrlProp427.xml><?xml version="1.0" encoding="utf-8"?>
<formControlPr xmlns="http://schemas.microsoft.com/office/spreadsheetml/2009/9/main" objectType="Drop" dropLines="20" dropStyle="combo" dx="16" fmlaLink="$D$159" fmlaRange="LU_FLU_RECC_PRICES_GROUP_E" noThreeD="1" sel="2" val="0"/>
</file>

<file path=xl/ctrlProps/ctrlProp428.xml><?xml version="1.0" encoding="utf-8"?>
<formControlPr xmlns="http://schemas.microsoft.com/office/spreadsheetml/2009/9/main" objectType="Drop" dropLines="20" dropStyle="combo" dx="16" fmlaLink="$D$160" fmlaRange="LU_FLU_RECC_PRICES_GROUP_E" noThreeD="1" sel="1" val="0"/>
</file>

<file path=xl/ctrlProps/ctrlProp429.xml><?xml version="1.0" encoding="utf-8"?>
<formControlPr xmlns="http://schemas.microsoft.com/office/spreadsheetml/2009/9/main" objectType="Drop" dropLines="20" dropStyle="combo" dx="16" fmlaLink="$D$161" fmlaRange="LU_FLU_RECC_PRICES_GROUP_E" noThreeD="1" sel="1" val="0"/>
</file>

<file path=xl/ctrlProps/ctrlProp43.xml><?xml version="1.0" encoding="utf-8"?>
<formControlPr xmlns="http://schemas.microsoft.com/office/spreadsheetml/2009/9/main" objectType="Drop" dropLines="20" dropStyle="combo" dx="16" fmlaLink="$F$65" fmlaRange="LU_FLU_CAP_PRICES_GROUP_C" noThreeD="1" sel="1" val="0"/>
</file>

<file path=xl/ctrlProps/ctrlProp430.xml><?xml version="1.0" encoding="utf-8"?>
<formControlPr xmlns="http://schemas.microsoft.com/office/spreadsheetml/2009/9/main" objectType="Drop" dropLines="20" dropStyle="combo" dx="16" fmlaLink="$D$162" fmlaRange="LU_FLU_RECC_PRICES_GROUP_E" noThreeD="1" sel="1" val="0"/>
</file>

<file path=xl/ctrlProps/ctrlProp431.xml><?xml version="1.0" encoding="utf-8"?>
<formControlPr xmlns="http://schemas.microsoft.com/office/spreadsheetml/2009/9/main" objectType="Drop" dropLines="20" dropStyle="combo" dx="16" fmlaLink="$D$163" fmlaRange="LU_FLU_RECC_PRICES_GROUP_E" noThreeD="1" sel="1" val="0"/>
</file>

<file path=xl/ctrlProps/ctrlProp432.xml><?xml version="1.0" encoding="utf-8"?>
<formControlPr xmlns="http://schemas.microsoft.com/office/spreadsheetml/2009/9/main" objectType="Drop" dropLines="20" dropStyle="combo" dx="16" fmlaLink="$D$164" fmlaRange="LU_FLU_RECC_PRICES_GROUP_E" noThreeD="1" sel="1" val="0"/>
</file>

<file path=xl/ctrlProps/ctrlProp433.xml><?xml version="1.0" encoding="utf-8"?>
<formControlPr xmlns="http://schemas.microsoft.com/office/spreadsheetml/2009/9/main" objectType="Drop" dropLines="20" dropStyle="combo" dx="16" fmlaLink="$D$165" fmlaRange="LU_FLU_RECC_PRICES_GROUP_E" noThreeD="1" sel="1" val="0"/>
</file>

<file path=xl/ctrlProps/ctrlProp434.xml><?xml version="1.0" encoding="utf-8"?>
<formControlPr xmlns="http://schemas.microsoft.com/office/spreadsheetml/2009/9/main" objectType="Drop" dropLines="20" dropStyle="combo" dx="16" fmlaLink="$D$166" fmlaRange="LU_FLU_RECC_PRICES_GROUP_E" noThreeD="1" sel="1" val="0"/>
</file>

<file path=xl/ctrlProps/ctrlProp435.xml><?xml version="1.0" encoding="utf-8"?>
<formControlPr xmlns="http://schemas.microsoft.com/office/spreadsheetml/2009/9/main" objectType="Drop" dropLines="20" dropStyle="combo" dx="16" fmlaLink="$D$167" fmlaRange="LU_FLU_RECC_PRICES_GROUP_E" noThreeD="1" sel="1" val="0"/>
</file>

<file path=xl/ctrlProps/ctrlProp436.xml><?xml version="1.0" encoding="utf-8"?>
<formControlPr xmlns="http://schemas.microsoft.com/office/spreadsheetml/2009/9/main" objectType="Drop" dropLines="20" dropStyle="combo" dx="16" fmlaLink="$D$168" fmlaRange="LU_FLU_RECC_PRICES_GROUP_E" noThreeD="1" sel="1" val="0"/>
</file>

<file path=xl/ctrlProps/ctrlProp437.xml><?xml version="1.0" encoding="utf-8"?>
<formControlPr xmlns="http://schemas.microsoft.com/office/spreadsheetml/2009/9/main" objectType="Drop" dropLines="20" dropStyle="combo" dx="16" fmlaLink="$D$169" fmlaRange="LU_FLU_RECC_PRICES_GROUP_E" noThreeD="1" sel="1" val="0"/>
</file>

<file path=xl/ctrlProps/ctrlProp438.xml><?xml version="1.0" encoding="utf-8"?>
<formControlPr xmlns="http://schemas.microsoft.com/office/spreadsheetml/2009/9/main" objectType="Drop" dropLines="20" dropStyle="combo" dx="16" fmlaLink="$D$170" fmlaRange="LU_FLU_RECC_PRICES_GROUP_E" noThreeD="1" sel="1" val="0"/>
</file>

<file path=xl/ctrlProps/ctrlProp439.xml><?xml version="1.0" encoding="utf-8"?>
<formControlPr xmlns="http://schemas.microsoft.com/office/spreadsheetml/2009/9/main" objectType="Drop" dropLines="20" dropStyle="combo" dx="16" fmlaLink="$D$171" fmlaRange="LU_FLU_RECC_PRICES_GROUP_E" noThreeD="1" sel="1" val="0"/>
</file>

<file path=xl/ctrlProps/ctrlProp44.xml><?xml version="1.0" encoding="utf-8"?>
<formControlPr xmlns="http://schemas.microsoft.com/office/spreadsheetml/2009/9/main" objectType="Drop" dropLines="20" dropStyle="combo" dx="16" fmlaLink="$F$66" fmlaRange="LU_FLU_CAP_PRICES_GROUP_C" noThreeD="1" sel="1" val="0"/>
</file>

<file path=xl/ctrlProps/ctrlProp440.xml><?xml version="1.0" encoding="utf-8"?>
<formControlPr xmlns="http://schemas.microsoft.com/office/spreadsheetml/2009/9/main" objectType="Drop" dropLines="20" dropStyle="combo" dx="16" fmlaLink="$D$172" fmlaRange="LU_FLU_RECC_PRICES_GROUP_E" noThreeD="1" sel="1" val="0"/>
</file>

<file path=xl/ctrlProps/ctrlProp441.xml><?xml version="1.0" encoding="utf-8"?>
<formControlPr xmlns="http://schemas.microsoft.com/office/spreadsheetml/2009/9/main" objectType="Drop" dropLines="20" dropStyle="combo" dx="16" fmlaLink="$D$173" fmlaRange="LU_FLU_RECC_PRICES_GROUP_E" noThreeD="1" sel="1" val="0"/>
</file>

<file path=xl/ctrlProps/ctrlProp442.xml><?xml version="1.0" encoding="utf-8"?>
<formControlPr xmlns="http://schemas.microsoft.com/office/spreadsheetml/2009/9/main" objectType="Drop" dropLines="20" dropStyle="combo" dx="16" fmlaLink="$D$140" fmlaRange="LU_FLU_RECC_PRICES_GROUP_D" noThreeD="1" sel="14" val="5"/>
</file>

<file path=xl/ctrlProps/ctrlProp443.xml><?xml version="1.0" encoding="utf-8"?>
<formControlPr xmlns="http://schemas.microsoft.com/office/spreadsheetml/2009/9/main" objectType="Drop" dropLines="20" dropStyle="combo" dx="16" fmlaLink="$D$141" fmlaRange="LU_FLU_RECC_PRICES_GROUP_D" noThreeD="1" sel="1" val="0"/>
</file>

<file path=xl/ctrlProps/ctrlProp444.xml><?xml version="1.0" encoding="utf-8"?>
<formControlPr xmlns="http://schemas.microsoft.com/office/spreadsheetml/2009/9/main" objectType="Drop" dropLines="20" dropStyle="combo" dx="16" fmlaLink="$D$142" fmlaRange="LU_FLU_RECC_PRICES_GROUP_D" noThreeD="1" sel="1" val="0"/>
</file>

<file path=xl/ctrlProps/ctrlProp445.xml><?xml version="1.0" encoding="utf-8"?>
<formControlPr xmlns="http://schemas.microsoft.com/office/spreadsheetml/2009/9/main" objectType="Drop" dropLines="20" dropStyle="combo" dx="16" fmlaLink="$D$143" fmlaRange="LU_FLU_RECC_PRICES_GROUP_D" noThreeD="1" sel="1" val="0"/>
</file>

<file path=xl/ctrlProps/ctrlProp446.xml><?xml version="1.0" encoding="utf-8"?>
<formControlPr xmlns="http://schemas.microsoft.com/office/spreadsheetml/2009/9/main" objectType="Drop" dropLines="20" dropStyle="combo" dx="16" fmlaLink="$D$144" fmlaRange="LU_FLU_RECC_PRICES_GROUP_D" noThreeD="1" sel="1" val="0"/>
</file>

<file path=xl/ctrlProps/ctrlProp447.xml><?xml version="1.0" encoding="utf-8"?>
<formControlPr xmlns="http://schemas.microsoft.com/office/spreadsheetml/2009/9/main" objectType="Drop" dropLines="20" dropStyle="combo" dx="16" fmlaLink="$D$145" fmlaRange="LU_FLU_RECC_PRICES_GROUP_D" noThreeD="1" sel="1" val="0"/>
</file>

<file path=xl/ctrlProps/ctrlProp448.xml><?xml version="1.0" encoding="utf-8"?>
<formControlPr xmlns="http://schemas.microsoft.com/office/spreadsheetml/2009/9/main" objectType="Drop" dropLines="20" dropStyle="combo" dx="16" fmlaLink="$D$146" fmlaRange="LU_FLU_RECC_PRICES_GROUP_D" noThreeD="1" sel="1" val="0"/>
</file>

<file path=xl/ctrlProps/ctrlProp449.xml><?xml version="1.0" encoding="utf-8"?>
<formControlPr xmlns="http://schemas.microsoft.com/office/spreadsheetml/2009/9/main" objectType="Drop" dropLines="20" dropStyle="combo" dx="16" fmlaLink="$D$147" fmlaRange="LU_FLU_RECC_PRICES_GROUP_D" noThreeD="1" sel="1" val="0"/>
</file>

<file path=xl/ctrlProps/ctrlProp45.xml><?xml version="1.0" encoding="utf-8"?>
<formControlPr xmlns="http://schemas.microsoft.com/office/spreadsheetml/2009/9/main" objectType="Drop" dropLines="20" dropStyle="combo" dx="16" fmlaLink="$F$67" fmlaRange="LU_FLU_CAP_PRICES_GROUP_C" noThreeD="1" sel="1" val="0"/>
</file>

<file path=xl/ctrlProps/ctrlProp450.xml><?xml version="1.0" encoding="utf-8"?>
<formControlPr xmlns="http://schemas.microsoft.com/office/spreadsheetml/2009/9/main" objectType="Drop" dropLines="20" dropStyle="combo" dx="16" fmlaLink="$D$148" fmlaRange="LU_FLU_RECC_PRICES_GROUP_D" noThreeD="1" sel="1" val="0"/>
</file>

<file path=xl/ctrlProps/ctrlProp451.xml><?xml version="1.0" encoding="utf-8"?>
<formControlPr xmlns="http://schemas.microsoft.com/office/spreadsheetml/2009/9/main" objectType="Drop" dropLines="20" dropStyle="combo" dx="16" fmlaLink="$D$149" fmlaRange="LU_FLU_RECC_PRICES_GROUP_D" noThreeD="1" sel="1" val="0"/>
</file>

<file path=xl/ctrlProps/ctrlProp452.xml><?xml version="1.0" encoding="utf-8"?>
<formControlPr xmlns="http://schemas.microsoft.com/office/spreadsheetml/2009/9/main" objectType="Drop" dropLines="20" dropStyle="combo" dx="16" fmlaLink="$D$150" fmlaRange="LU_FLU_RECC_PRICES_GROUP_D" noThreeD="1" sel="1" val="0"/>
</file>

<file path=xl/ctrlProps/ctrlProp453.xml><?xml version="1.0" encoding="utf-8"?>
<formControlPr xmlns="http://schemas.microsoft.com/office/spreadsheetml/2009/9/main" objectType="Drop" dropLines="20" dropStyle="combo" dx="16" fmlaLink="$D$151" fmlaRange="LU_FLU_RECC_PRICES_GROUP_D" noThreeD="1" sel="1" val="0"/>
</file>

<file path=xl/ctrlProps/ctrlProp454.xml><?xml version="1.0" encoding="utf-8"?>
<formControlPr xmlns="http://schemas.microsoft.com/office/spreadsheetml/2009/9/main" objectType="Drop" dropLines="20" dropStyle="combo" dx="16" fmlaLink="$D$152" fmlaRange="LU_FLU_RECC_PRICES_GROUP_D" noThreeD="1" sel="1" val="0"/>
</file>

<file path=xl/ctrlProps/ctrlProp455.xml><?xml version="1.0" encoding="utf-8"?>
<formControlPr xmlns="http://schemas.microsoft.com/office/spreadsheetml/2009/9/main" objectType="Drop" dropLines="20" dropStyle="combo" dx="16" fmlaLink="$D$153" fmlaRange="LU_FLU_RECC_PRICES_GROUP_D" noThreeD="1" sel="1" val="0"/>
</file>

<file path=xl/ctrlProps/ctrlProp456.xml><?xml version="1.0" encoding="utf-8"?>
<formControlPr xmlns="http://schemas.microsoft.com/office/spreadsheetml/2009/9/main" objectType="Drop" dropLines="20" dropStyle="combo" dx="16" fmlaLink="$D$154" fmlaRange="LU_FLU_RECC_PRICES_GROUP_D" noThreeD="1" sel="1" val="0"/>
</file>

<file path=xl/ctrlProps/ctrlProp457.xml><?xml version="1.0" encoding="utf-8"?>
<formControlPr xmlns="http://schemas.microsoft.com/office/spreadsheetml/2009/9/main" objectType="Drop" dropLines="20" dropStyle="combo" dx="16" fmlaLink="$D$121" fmlaRange="LU_FLU_RECC_PRICES_GROUP_C" noThreeD="1" sel="2" val="0"/>
</file>

<file path=xl/ctrlProps/ctrlProp458.xml><?xml version="1.0" encoding="utf-8"?>
<formControlPr xmlns="http://schemas.microsoft.com/office/spreadsheetml/2009/9/main" objectType="Drop" dropLines="20" dropStyle="combo" dx="16" fmlaLink="$D$122" fmlaRange="LU_FLU_RECC_PRICES_GROUP_C" noThreeD="1" sel="2" val="0"/>
</file>

<file path=xl/ctrlProps/ctrlProp459.xml><?xml version="1.0" encoding="utf-8"?>
<formControlPr xmlns="http://schemas.microsoft.com/office/spreadsheetml/2009/9/main" objectType="Drop" dropLines="20" dropStyle="combo" dx="16" fmlaLink="$D$123" fmlaRange="LU_FLU_RECC_PRICES_GROUP_C" noThreeD="1" sel="1" val="0"/>
</file>

<file path=xl/ctrlProps/ctrlProp46.xml><?xml version="1.0" encoding="utf-8"?>
<formControlPr xmlns="http://schemas.microsoft.com/office/spreadsheetml/2009/9/main" objectType="Drop" dropLines="20" dropStyle="combo" dx="16" fmlaLink="$F$265" fmlaRange="LU_FLU_CAP_PRICES_GROUP_C" noThreeD="1" sel="6" val="0"/>
</file>

<file path=xl/ctrlProps/ctrlProp460.xml><?xml version="1.0" encoding="utf-8"?>
<formControlPr xmlns="http://schemas.microsoft.com/office/spreadsheetml/2009/9/main" objectType="Drop" dropLines="20" dropStyle="combo" dx="16" fmlaLink="$D$124" fmlaRange="LU_FLU_RECC_PRICES_GROUP_C" noThreeD="1" sel="1" val="0"/>
</file>

<file path=xl/ctrlProps/ctrlProp461.xml><?xml version="1.0" encoding="utf-8"?>
<formControlPr xmlns="http://schemas.microsoft.com/office/spreadsheetml/2009/9/main" objectType="Drop" dropLines="20" dropStyle="combo" dx="16" fmlaLink="$D$125" fmlaRange="LU_FLU_RECC_PRICES_GROUP_C" noThreeD="1" sel="1" val="0"/>
</file>

<file path=xl/ctrlProps/ctrlProp462.xml><?xml version="1.0" encoding="utf-8"?>
<formControlPr xmlns="http://schemas.microsoft.com/office/spreadsheetml/2009/9/main" objectType="Drop" dropLines="20" dropStyle="combo" dx="16" fmlaLink="$D$126" fmlaRange="LU_FLU_RECC_PRICES_GROUP_C" noThreeD="1" sel="1" val="0"/>
</file>

<file path=xl/ctrlProps/ctrlProp463.xml><?xml version="1.0" encoding="utf-8"?>
<formControlPr xmlns="http://schemas.microsoft.com/office/spreadsheetml/2009/9/main" objectType="Drop" dropLines="20" dropStyle="combo" dx="16" fmlaLink="$D$127" fmlaRange="LU_FLU_RECC_PRICES_GROUP_C" noThreeD="1" sel="1" val="0"/>
</file>

<file path=xl/ctrlProps/ctrlProp464.xml><?xml version="1.0" encoding="utf-8"?>
<formControlPr xmlns="http://schemas.microsoft.com/office/spreadsheetml/2009/9/main" objectType="Drop" dropLines="20" dropStyle="combo" dx="16" fmlaLink="$D$128" fmlaRange="LU_FLU_RECC_PRICES_GROUP_C" noThreeD="1" sel="1" val="0"/>
</file>

<file path=xl/ctrlProps/ctrlProp465.xml><?xml version="1.0" encoding="utf-8"?>
<formControlPr xmlns="http://schemas.microsoft.com/office/spreadsheetml/2009/9/main" objectType="Drop" dropLines="20" dropStyle="combo" dx="16" fmlaLink="$D$129" fmlaRange="LU_FLU_RECC_PRICES_GROUP_C" noThreeD="1" sel="1" val="0"/>
</file>

<file path=xl/ctrlProps/ctrlProp466.xml><?xml version="1.0" encoding="utf-8"?>
<formControlPr xmlns="http://schemas.microsoft.com/office/spreadsheetml/2009/9/main" objectType="Drop" dropLines="20" dropStyle="combo" dx="16" fmlaLink="$D$130" fmlaRange="LU_FLU_RECC_PRICES_GROUP_C" noThreeD="1" sel="1" val="0"/>
</file>

<file path=xl/ctrlProps/ctrlProp467.xml><?xml version="1.0" encoding="utf-8"?>
<formControlPr xmlns="http://schemas.microsoft.com/office/spreadsheetml/2009/9/main" objectType="Drop" dropLines="20" dropStyle="combo" dx="16" fmlaLink="$D$131" fmlaRange="LU_FLU_RECC_PRICES_GROUP_C" noThreeD="1" sel="1" val="0"/>
</file>

<file path=xl/ctrlProps/ctrlProp468.xml><?xml version="1.0" encoding="utf-8"?>
<formControlPr xmlns="http://schemas.microsoft.com/office/spreadsheetml/2009/9/main" objectType="Drop" dropLines="20" dropStyle="combo" dx="16" fmlaLink="$D$132" fmlaRange="LU_FLU_RECC_PRICES_GROUP_C" noThreeD="1" sel="1" val="0"/>
</file>

<file path=xl/ctrlProps/ctrlProp469.xml><?xml version="1.0" encoding="utf-8"?>
<formControlPr xmlns="http://schemas.microsoft.com/office/spreadsheetml/2009/9/main" objectType="Drop" dropLines="20" dropStyle="combo" dx="16" fmlaLink="$D$133" fmlaRange="LU_FLU_RECC_PRICES_GROUP_C" noThreeD="1" sel="1" val="0"/>
</file>

<file path=xl/ctrlProps/ctrlProp47.xml><?xml version="1.0" encoding="utf-8"?>
<formControlPr xmlns="http://schemas.microsoft.com/office/spreadsheetml/2009/9/main" objectType="Drop" dropLines="20" dropStyle="combo" dx="16" fmlaLink="$F$266" fmlaRange="LU_FLU_CAP_PRICES_GROUP_C" noThreeD="1" sel="1" val="0"/>
</file>

<file path=xl/ctrlProps/ctrlProp470.xml><?xml version="1.0" encoding="utf-8"?>
<formControlPr xmlns="http://schemas.microsoft.com/office/spreadsheetml/2009/9/main" objectType="Drop" dropLines="20" dropStyle="combo" dx="16" fmlaLink="$D$134" fmlaRange="LU_FLU_RECC_PRICES_GROUP_C" noThreeD="1" sel="1" val="0"/>
</file>

<file path=xl/ctrlProps/ctrlProp471.xml><?xml version="1.0" encoding="utf-8"?>
<formControlPr xmlns="http://schemas.microsoft.com/office/spreadsheetml/2009/9/main" objectType="Drop" dropLines="20" dropStyle="combo" dx="16" fmlaLink="$D$135" fmlaRange="LU_FLU_RECC_PRICES_GROUP_C" noThreeD="1" sel="1" val="0"/>
</file>

<file path=xl/ctrlProps/ctrlProp472.xml><?xml version="1.0" encoding="utf-8"?>
<formControlPr xmlns="http://schemas.microsoft.com/office/spreadsheetml/2009/9/main" objectType="Drop" dropLines="20" dropStyle="combo" dx="16" fmlaLink="$D$102" fmlaRange="LU_FLU_RECC_PRICES_GROUP_A" noThreeD="1" sel="18" val="5"/>
</file>

<file path=xl/ctrlProps/ctrlProp473.xml><?xml version="1.0" encoding="utf-8"?>
<formControlPr xmlns="http://schemas.microsoft.com/office/spreadsheetml/2009/9/main" objectType="Drop" dropLines="20" dropStyle="combo" dx="16" fmlaLink="$D$103" fmlaRange="LU_FLU_RECC_PRICES_GROUP_A" noThreeD="1" sel="17" val="5"/>
</file>

<file path=xl/ctrlProps/ctrlProp474.xml><?xml version="1.0" encoding="utf-8"?>
<formControlPr xmlns="http://schemas.microsoft.com/office/spreadsheetml/2009/9/main" objectType="Drop" dropLines="20" dropStyle="combo" dx="16" fmlaLink="$D$104" fmlaRange="LU_FLU_RECC_PRICES_GROUP_A" noThreeD="1" sel="7" val="5"/>
</file>

<file path=xl/ctrlProps/ctrlProp475.xml><?xml version="1.0" encoding="utf-8"?>
<formControlPr xmlns="http://schemas.microsoft.com/office/spreadsheetml/2009/9/main" objectType="Drop" dropLines="20" dropStyle="combo" dx="16" fmlaLink="$D$105" fmlaRange="LU_FLU_RECC_PRICES_GROUP_A" noThreeD="1" sel="7" val="0"/>
</file>

<file path=xl/ctrlProps/ctrlProp476.xml><?xml version="1.0" encoding="utf-8"?>
<formControlPr xmlns="http://schemas.microsoft.com/office/spreadsheetml/2009/9/main" objectType="Drop" dropLines="20" dropStyle="combo" dx="16" fmlaLink="$D$106" fmlaRange="LU_FLU_RECC_PRICES_GROUP_A" noThreeD="1" sel="16" val="0"/>
</file>

<file path=xl/ctrlProps/ctrlProp477.xml><?xml version="1.0" encoding="utf-8"?>
<formControlPr xmlns="http://schemas.microsoft.com/office/spreadsheetml/2009/9/main" objectType="Drop" dropLines="20" dropStyle="combo" dx="16" fmlaLink="$D$107" fmlaRange="LU_FLU_RECC_PRICES_GROUP_A" noThreeD="1" sel="9" val="0"/>
</file>

<file path=xl/ctrlProps/ctrlProp478.xml><?xml version="1.0" encoding="utf-8"?>
<formControlPr xmlns="http://schemas.microsoft.com/office/spreadsheetml/2009/9/main" objectType="Drop" dropLines="20" dropStyle="combo" dx="16" fmlaLink="$D$108" fmlaRange="LU_FLU_RECC_PRICES_GROUP_A" noThreeD="1" sel="22" val="3"/>
</file>

<file path=xl/ctrlProps/ctrlProp479.xml><?xml version="1.0" encoding="utf-8"?>
<formControlPr xmlns="http://schemas.microsoft.com/office/spreadsheetml/2009/9/main" objectType="Drop" dropLines="20" dropStyle="combo" dx="16" fmlaLink="$D$109" fmlaRange="LU_FLU_RECC_PRICES_GROUP_A" noThreeD="1" sel="5" val="0"/>
</file>

<file path=xl/ctrlProps/ctrlProp48.xml><?xml version="1.0" encoding="utf-8"?>
<formControlPr xmlns="http://schemas.microsoft.com/office/spreadsheetml/2009/9/main" objectType="Drop" dropLines="20" dropStyle="combo" dx="16" fmlaLink="$F$267" fmlaRange="LU_FLU_CAP_PRICES_GROUP_C" noThreeD="1" sel="1" val="0"/>
</file>

<file path=xl/ctrlProps/ctrlProp480.xml><?xml version="1.0" encoding="utf-8"?>
<formControlPr xmlns="http://schemas.microsoft.com/office/spreadsheetml/2009/9/main" objectType="Drop" dropLines="20" dropStyle="combo" dx="16" fmlaLink="$D$110" fmlaRange="LU_FLU_RECC_PRICES_GROUP_A" noThreeD="1" sel="22" val="5"/>
</file>

<file path=xl/ctrlProps/ctrlProp481.xml><?xml version="1.0" encoding="utf-8"?>
<formControlPr xmlns="http://schemas.microsoft.com/office/spreadsheetml/2009/9/main" objectType="Drop" dropLines="20" dropStyle="combo" dx="16" fmlaLink="$D$111" fmlaRange="LU_FLU_RECC_PRICES_GROUP_A" noThreeD="1" sel="9" val="5"/>
</file>

<file path=xl/ctrlProps/ctrlProp482.xml><?xml version="1.0" encoding="utf-8"?>
<formControlPr xmlns="http://schemas.microsoft.com/office/spreadsheetml/2009/9/main" objectType="Drop" dropLines="20" dropStyle="combo" dx="16" fmlaLink="$D$112" fmlaRange="LU_FLU_RECC_PRICES_GROUP_A" noThreeD="1" sel="9" val="0"/>
</file>

<file path=xl/ctrlProps/ctrlProp483.xml><?xml version="1.0" encoding="utf-8"?>
<formControlPr xmlns="http://schemas.microsoft.com/office/spreadsheetml/2009/9/main" objectType="Drop" dropLines="20" dropStyle="combo" dx="16" fmlaLink="$D$113" fmlaRange="LU_FLU_RECC_PRICES_GROUP_A" noThreeD="1" sel="4" val="0"/>
</file>

<file path=xl/ctrlProps/ctrlProp484.xml><?xml version="1.0" encoding="utf-8"?>
<formControlPr xmlns="http://schemas.microsoft.com/office/spreadsheetml/2009/9/main" objectType="Drop" dropLines="20" dropStyle="combo" dx="16" fmlaLink="$D$114" fmlaRange="LU_FLU_RECC_PRICES_GROUP_A" noThreeD="1" sel="3" val="0"/>
</file>

<file path=xl/ctrlProps/ctrlProp485.xml><?xml version="1.0" encoding="utf-8"?>
<formControlPr xmlns="http://schemas.microsoft.com/office/spreadsheetml/2009/9/main" objectType="Drop" dropLines="20" dropStyle="combo" dx="16" fmlaLink="$D$115" fmlaRange="LU_FLU_RECC_PRICES_GROUP_A" noThreeD="1" sel="2" val="0"/>
</file>

<file path=xl/ctrlProps/ctrlProp486.xml><?xml version="1.0" encoding="utf-8"?>
<formControlPr xmlns="http://schemas.microsoft.com/office/spreadsheetml/2009/9/main" objectType="Drop" dropLines="20" dropStyle="combo" dx="16" fmlaLink="$D$116" fmlaRange="LU_FLU_RECC_PRICES_GROUP_A" noThreeD="1" sel="1" val="0"/>
</file>

<file path=xl/ctrlProps/ctrlProp487.xml><?xml version="1.0" encoding="utf-8"?>
<formControlPr xmlns="http://schemas.microsoft.com/office/spreadsheetml/2009/9/main" objectType="Drop" dropLines="20" dropStyle="combo" dx="16" fmlaLink="$I$102" fmlaRange="LU_FLU_Personnel_Unit_Cost_Categories" noThreeD="1" sel="2" val="0"/>
</file>

<file path=xl/ctrlProps/ctrlProp488.xml><?xml version="1.0" encoding="utf-8"?>
<formControlPr xmlns="http://schemas.microsoft.com/office/spreadsheetml/2009/9/main" objectType="Drop" dropLines="20" dropStyle="combo" dx="16" fmlaLink="$I$103" fmlaRange="LU_FLU_Personnel_Unit_Cost_Categories" noThreeD="1" sel="2" val="0"/>
</file>

<file path=xl/ctrlProps/ctrlProp489.xml><?xml version="1.0" encoding="utf-8"?>
<formControlPr xmlns="http://schemas.microsoft.com/office/spreadsheetml/2009/9/main" objectType="Drop" dropLines="20" dropStyle="combo" dx="16" fmlaLink="$I$104" fmlaRange="LU_FLU_Personnel_Unit_Cost_Categories" noThreeD="1" sel="2" val="0"/>
</file>

<file path=xl/ctrlProps/ctrlProp49.xml><?xml version="1.0" encoding="utf-8"?>
<formControlPr xmlns="http://schemas.microsoft.com/office/spreadsheetml/2009/9/main" objectType="Drop" dropLines="20" dropStyle="combo" dx="16" fmlaLink="$F$268" fmlaRange="LU_FLU_CAP_PRICES_GROUP_C" noThreeD="1" sel="1" val="0"/>
</file>

<file path=xl/ctrlProps/ctrlProp490.xml><?xml version="1.0" encoding="utf-8"?>
<formControlPr xmlns="http://schemas.microsoft.com/office/spreadsheetml/2009/9/main" objectType="Drop" dropLines="20" dropStyle="combo" dx="16" fmlaLink="$I$105" fmlaRange="LU_FLU_Personnel_Unit_Cost_Categories" noThreeD="1" sel="2" val="0"/>
</file>

<file path=xl/ctrlProps/ctrlProp491.xml><?xml version="1.0" encoding="utf-8"?>
<formControlPr xmlns="http://schemas.microsoft.com/office/spreadsheetml/2009/9/main" objectType="Drop" dropLines="20" dropStyle="combo" dx="16" fmlaLink="$I$106" fmlaRange="LU_FLU_Personnel_Unit_Cost_Categories" noThreeD="1" sel="2" val="0"/>
</file>

<file path=xl/ctrlProps/ctrlProp492.xml><?xml version="1.0" encoding="utf-8"?>
<formControlPr xmlns="http://schemas.microsoft.com/office/spreadsheetml/2009/9/main" objectType="Drop" dropLines="20" dropStyle="combo" dx="16" fmlaLink="$I$107" fmlaRange="LU_FLU_Personnel_Unit_Cost_Categories" noThreeD="1" sel="2" val="0"/>
</file>

<file path=xl/ctrlProps/ctrlProp493.xml><?xml version="1.0" encoding="utf-8"?>
<formControlPr xmlns="http://schemas.microsoft.com/office/spreadsheetml/2009/9/main" objectType="Drop" dropLines="20" dropStyle="combo" dx="16" fmlaLink="$I$108" fmlaRange="LU_FLU_Personnel_Unit_Cost_Categories" noThreeD="1" sel="2" val="0"/>
</file>

<file path=xl/ctrlProps/ctrlProp494.xml><?xml version="1.0" encoding="utf-8"?>
<formControlPr xmlns="http://schemas.microsoft.com/office/spreadsheetml/2009/9/main" objectType="Drop" dropLines="20" dropStyle="combo" dx="16" fmlaLink="$I$109" fmlaRange="LU_FLU_Personnel_Unit_Cost_Categories" noThreeD="1" sel="2" val="0"/>
</file>

<file path=xl/ctrlProps/ctrlProp495.xml><?xml version="1.0" encoding="utf-8"?>
<formControlPr xmlns="http://schemas.microsoft.com/office/spreadsheetml/2009/9/main" objectType="Drop" dropLines="20" dropStyle="combo" dx="16" fmlaLink="$I$110" fmlaRange="LU_FLU_Personnel_Unit_Cost_Categories" noThreeD="1" sel="2" val="0"/>
</file>

<file path=xl/ctrlProps/ctrlProp496.xml><?xml version="1.0" encoding="utf-8"?>
<formControlPr xmlns="http://schemas.microsoft.com/office/spreadsheetml/2009/9/main" objectType="Drop" dropLines="20" dropStyle="combo" dx="16" fmlaLink="$I$111" fmlaRange="LU_FLU_Personnel_Unit_Cost_Categories" noThreeD="1" sel="2" val="0"/>
</file>

<file path=xl/ctrlProps/ctrlProp497.xml><?xml version="1.0" encoding="utf-8"?>
<formControlPr xmlns="http://schemas.microsoft.com/office/spreadsheetml/2009/9/main" objectType="Drop" dropLines="20" dropStyle="combo" dx="16" fmlaLink="$I$112" fmlaRange="LU_FLU_Personnel_Unit_Cost_Categories" noThreeD="1" sel="2" val="0"/>
</file>

<file path=xl/ctrlProps/ctrlProp498.xml><?xml version="1.0" encoding="utf-8"?>
<formControlPr xmlns="http://schemas.microsoft.com/office/spreadsheetml/2009/9/main" objectType="Drop" dropLines="20" dropStyle="combo" dx="16" fmlaLink="$I$113" fmlaRange="LU_FLU_Personnel_Unit_Cost_Categories" noThreeD="1" sel="2" val="0"/>
</file>

<file path=xl/ctrlProps/ctrlProp499.xml><?xml version="1.0" encoding="utf-8"?>
<formControlPr xmlns="http://schemas.microsoft.com/office/spreadsheetml/2009/9/main" objectType="Drop" dropLines="20" dropStyle="combo" dx="16" fmlaLink="$I$114" fmlaRange="LU_FLU_Personnel_Unit_Cost_Categories" noThreeD="1" sel="2" val="0"/>
</file>

<file path=xl/ctrlProps/ctrlProp5.xml><?xml version="1.0" encoding="utf-8"?>
<formControlPr xmlns="http://schemas.microsoft.com/office/spreadsheetml/2009/9/main" objectType="Drop" dropStyle="combo" dx="16" fmlaLink="$M$33" fmlaRange="LU_FLU_Recurrent_Cost_Line_Items" noThreeD="1" sel="9" val="0"/>
</file>

<file path=xl/ctrlProps/ctrlProp50.xml><?xml version="1.0" encoding="utf-8"?>
<formControlPr xmlns="http://schemas.microsoft.com/office/spreadsheetml/2009/9/main" objectType="Drop" dropLines="20" dropStyle="combo" dx="16" fmlaLink="$F$269" fmlaRange="LU_FLU_CAP_PRICES_GROUP_C" noThreeD="1" sel="1" val="0"/>
</file>

<file path=xl/ctrlProps/ctrlProp500.xml><?xml version="1.0" encoding="utf-8"?>
<formControlPr xmlns="http://schemas.microsoft.com/office/spreadsheetml/2009/9/main" objectType="Drop" dropLines="20" dropStyle="combo" dx="16" fmlaLink="$I$115" fmlaRange="LU_FLU_Personnel_Unit_Cost_Categories" noThreeD="1" sel="2" val="0"/>
</file>

<file path=xl/ctrlProps/ctrlProp501.xml><?xml version="1.0" encoding="utf-8"?>
<formControlPr xmlns="http://schemas.microsoft.com/office/spreadsheetml/2009/9/main" objectType="Drop" dropLines="20" dropStyle="combo" dx="16" fmlaLink="$I$116" fmlaRange="LU_FLU_Personnel_Unit_Cost_Categories" noThreeD="1" sel="2" val="0"/>
</file>

<file path=xl/ctrlProps/ctrlProp502.xml><?xml version="1.0" encoding="utf-8"?>
<formControlPr xmlns="http://schemas.microsoft.com/office/spreadsheetml/2009/9/main" objectType="Drop" dropLines="20" dropStyle="combo" dx="16" fmlaLink="DD_FLU_TRAIN_GROUP_C_1" fmlaRange="LU_FLU_RECC_PRICES_GROUP_C" noThreeD="1" sel="2" val="0"/>
</file>

<file path=xl/ctrlProps/ctrlProp503.xml><?xml version="1.0" encoding="utf-8"?>
<formControlPr xmlns="http://schemas.microsoft.com/office/spreadsheetml/2009/9/main" objectType="Drop" dropLines="20" dropStyle="combo" dx="16" fmlaLink="DD_FLU_TRAIN_GROUP_C_2" fmlaRange="LU_FLU_RECC_PRICES_GROUP_C" noThreeD="1" sel="1" val="0"/>
</file>

<file path=xl/ctrlProps/ctrlProp504.xml><?xml version="1.0" encoding="utf-8"?>
<formControlPr xmlns="http://schemas.microsoft.com/office/spreadsheetml/2009/9/main" objectType="Drop" dropLines="20" dropStyle="combo" dx="16" fmlaLink="DD_FLU_TRAIN_GROUP_C_3" fmlaRange="LU_FLU_RECC_PRICES_GROUP_C" noThreeD="1" sel="1" val="0"/>
</file>

<file path=xl/ctrlProps/ctrlProp505.xml><?xml version="1.0" encoding="utf-8"?>
<formControlPr xmlns="http://schemas.microsoft.com/office/spreadsheetml/2009/9/main" objectType="Drop" dropLines="20" dropStyle="combo" dx="16" fmlaLink="DD_FLU_TRAIN_GROUP_C_4" fmlaRange="LU_FLU_RECC_PRICES_GROUP_C" noThreeD="1" sel="1" val="0"/>
</file>

<file path=xl/ctrlProps/ctrlProp506.xml><?xml version="1.0" encoding="utf-8"?>
<formControlPr xmlns="http://schemas.microsoft.com/office/spreadsheetml/2009/9/main" objectType="Drop" dropLines="20" dropStyle="combo" dx="16" fmlaLink="DD_FLU_TRAIN_GROUP_C_5" fmlaRange="LU_FLU_RECC_PRICES_GROUP_C" noThreeD="1" sel="1" val="0"/>
</file>

<file path=xl/ctrlProps/ctrlProp507.xml><?xml version="1.0" encoding="utf-8"?>
<formControlPr xmlns="http://schemas.microsoft.com/office/spreadsheetml/2009/9/main" objectType="Drop" dropLines="20" dropStyle="combo" dx="16" fmlaLink="DD_FLU_TRAIN_GROUP_D_1" fmlaRange="LU_FLU_RECC_PRICES_GROUP_D" noThreeD="1" sel="3" val="0"/>
</file>

<file path=xl/ctrlProps/ctrlProp508.xml><?xml version="1.0" encoding="utf-8"?>
<formControlPr xmlns="http://schemas.microsoft.com/office/spreadsheetml/2009/9/main" objectType="Drop" dropLines="20" dropStyle="combo" dx="16" fmlaLink="DD_FLU_TRAIN_GROUP_D_2" fmlaRange="LU_FLU_RECC_PRICES_GROUP_D" noThreeD="1" sel="4" val="0"/>
</file>

<file path=xl/ctrlProps/ctrlProp509.xml><?xml version="1.0" encoding="utf-8"?>
<formControlPr xmlns="http://schemas.microsoft.com/office/spreadsheetml/2009/9/main" objectType="Drop" dropLines="20" dropStyle="combo" dx="16" fmlaLink="DD_FLU_TRAIN_GROUP_D_3" fmlaRange="LU_FLU_RECC_PRICES_GROUP_D" noThreeD="1" sel="1" val="0"/>
</file>

<file path=xl/ctrlProps/ctrlProp51.xml><?xml version="1.0" encoding="utf-8"?>
<formControlPr xmlns="http://schemas.microsoft.com/office/spreadsheetml/2009/9/main" objectType="Drop" dropLines="20" dropStyle="combo" dx="16" fmlaLink="$G$276" fmlaRange="LU_FLU_Curr_Code" noThreeD="1" sel="1" val="0"/>
</file>

<file path=xl/ctrlProps/ctrlProp510.xml><?xml version="1.0" encoding="utf-8"?>
<formControlPr xmlns="http://schemas.microsoft.com/office/spreadsheetml/2009/9/main" objectType="Drop" dropLines="20" dropStyle="combo" dx="16" fmlaLink="DD_FLU_TRAIN_GROUP_D_4" fmlaRange="LU_FLU_RECC_PRICES_GROUP_D" noThreeD="1" sel="1" val="0"/>
</file>

<file path=xl/ctrlProps/ctrlProp511.xml><?xml version="1.0" encoding="utf-8"?>
<formControlPr xmlns="http://schemas.microsoft.com/office/spreadsheetml/2009/9/main" objectType="Drop" dropLines="20" dropStyle="combo" dx="16" fmlaLink="DD_FLU_TRAIN_GROUP_D_5" fmlaRange="LU_FLU_RECC_PRICES_GROUP_D" noThreeD="1" sel="1" val="0"/>
</file>

<file path=xl/ctrlProps/ctrlProp512.xml><?xml version="1.0" encoding="utf-8"?>
<formControlPr xmlns="http://schemas.microsoft.com/office/spreadsheetml/2009/9/main" objectType="Drop" dropLines="20" dropStyle="combo" dx="16" fmlaLink="DD_FLU_TRAIN_GROUP_E_1" fmlaRange="LU_FLU_RECC_PRICES_GROUP_E" noThreeD="1" sel="2" val="0"/>
</file>

<file path=xl/ctrlProps/ctrlProp513.xml><?xml version="1.0" encoding="utf-8"?>
<formControlPr xmlns="http://schemas.microsoft.com/office/spreadsheetml/2009/9/main" objectType="Drop" dropLines="20" dropStyle="combo" dx="16" fmlaLink="DD_FLU_TRAIN_GROUP_E_2" fmlaRange="LU_FLU_RECC_PRICES_GROUP_E" noThreeD="1" sel="1" val="0"/>
</file>

<file path=xl/ctrlProps/ctrlProp514.xml><?xml version="1.0" encoding="utf-8"?>
<formControlPr xmlns="http://schemas.microsoft.com/office/spreadsheetml/2009/9/main" objectType="Drop" dropLines="20" dropStyle="combo" dx="16" fmlaLink="DD_FLU_TRAIN_GROUP_E_3" fmlaRange="LU_FLU_RECC_PRICES_GROUP_E" noThreeD="1" sel="1" val="0"/>
</file>

<file path=xl/ctrlProps/ctrlProp515.xml><?xml version="1.0" encoding="utf-8"?>
<formControlPr xmlns="http://schemas.microsoft.com/office/spreadsheetml/2009/9/main" objectType="Drop" dropLines="20" dropStyle="combo" dx="16" fmlaLink="DD_FLU_TRAIN_GROUP_E_4" fmlaRange="LU_FLU_RECC_PRICES_GROUP_E" noThreeD="1" sel="1" val="0"/>
</file>

<file path=xl/ctrlProps/ctrlProp516.xml><?xml version="1.0" encoding="utf-8"?>
<formControlPr xmlns="http://schemas.microsoft.com/office/spreadsheetml/2009/9/main" objectType="Drop" dropLines="20" dropStyle="combo" dx="16" fmlaLink="DD_FLU_TRAIN_GROUP_E_5" fmlaRange="LU_FLU_RECC_PRICES_GROUP_E" noThreeD="1" sel="1" val="0"/>
</file>

<file path=xl/ctrlProps/ctrlProp517.xml><?xml version="1.0" encoding="utf-8"?>
<formControlPr xmlns="http://schemas.microsoft.com/office/spreadsheetml/2009/9/main" objectType="Drop" dropLines="20" dropStyle="combo" dx="16" fmlaLink="DD_FLU_TRAIN_GROUP_E_6" fmlaRange="LU_FLU_RECC_PRICES_GROUP_E" noThreeD="1" sel="1" val="0"/>
</file>

<file path=xl/ctrlProps/ctrlProp518.xml><?xml version="1.0" encoding="utf-8"?>
<formControlPr xmlns="http://schemas.microsoft.com/office/spreadsheetml/2009/9/main" objectType="Drop" dropLines="20" dropStyle="combo" dx="16" fmlaLink="DD_FLU_TRAIN_GROUP_E_7" fmlaRange="LU_FLU_RECC_PRICES_GROUP_E" noThreeD="1" sel="1" val="0"/>
</file>

<file path=xl/ctrlProps/ctrlProp519.xml><?xml version="1.0" encoding="utf-8"?>
<formControlPr xmlns="http://schemas.microsoft.com/office/spreadsheetml/2009/9/main" objectType="Drop" dropLines="20" dropStyle="combo" dx="16" fmlaLink="DD_FLU_TRAIN_GROUP_E_8" fmlaRange="LU_FLU_RECC_PRICES_GROUP_E" noThreeD="1" sel="1" val="0"/>
</file>

<file path=xl/ctrlProps/ctrlProp52.xml><?xml version="1.0" encoding="utf-8"?>
<formControlPr xmlns="http://schemas.microsoft.com/office/spreadsheetml/2009/9/main" objectType="Drop" dropLines="20" dropStyle="combo" dx="20" fmlaLink="$D$37" fmlaRange="LU_FLU_RECC_PRICES_GROUP_C" noThreeD="1" sel="2" val="0"/>
</file>

<file path=xl/ctrlProps/ctrlProp520.xml><?xml version="1.0" encoding="utf-8"?>
<formControlPr xmlns="http://schemas.microsoft.com/office/spreadsheetml/2009/9/main" objectType="Drop" dropLines="20" dropStyle="combo" dx="16" fmlaLink="DD_FLU_TRAIN_GROUP_E_9" fmlaRange="LU_FLU_RECC_PRICES_GROUP_E" noThreeD="1" sel="1" val="0"/>
</file>

<file path=xl/ctrlProps/ctrlProp521.xml><?xml version="1.0" encoding="utf-8"?>
<formControlPr xmlns="http://schemas.microsoft.com/office/spreadsheetml/2009/9/main" objectType="Drop" dropLines="20" dropStyle="combo" dx="16" fmlaLink="DD_FLU_TRAIN2_GROUP_C_1" fmlaRange="LU_FLU_RECC_PRICES_GROUP_C" noThreeD="1" sel="1" val="0"/>
</file>

<file path=xl/ctrlProps/ctrlProp522.xml><?xml version="1.0" encoding="utf-8"?>
<formControlPr xmlns="http://schemas.microsoft.com/office/spreadsheetml/2009/9/main" objectType="Drop" dropLines="20" dropStyle="combo" dx="16" fmlaLink="DD_FLU_TRAIN2_GROUP_C_2" fmlaRange="LU_FLU_RECC_PRICES_GROUP_C" noThreeD="1" sel="1" val="0"/>
</file>

<file path=xl/ctrlProps/ctrlProp523.xml><?xml version="1.0" encoding="utf-8"?>
<formControlPr xmlns="http://schemas.microsoft.com/office/spreadsheetml/2009/9/main" objectType="Drop" dropLines="20" dropStyle="combo" dx="16" fmlaLink="DD_FLU_TRAIN2_GROUP_C_3" fmlaRange="LU_FLU_RECC_PRICES_GROUP_C" noThreeD="1" sel="1" val="0"/>
</file>

<file path=xl/ctrlProps/ctrlProp524.xml><?xml version="1.0" encoding="utf-8"?>
<formControlPr xmlns="http://schemas.microsoft.com/office/spreadsheetml/2009/9/main" objectType="Drop" dropLines="20" dropStyle="combo" dx="16" fmlaLink="DD_FLU_TRAIN2_GROUP_C_4" fmlaRange="LU_FLU_RECC_PRICES_GROUP_C" noThreeD="1" sel="1" val="0"/>
</file>

<file path=xl/ctrlProps/ctrlProp525.xml><?xml version="1.0" encoding="utf-8"?>
<formControlPr xmlns="http://schemas.microsoft.com/office/spreadsheetml/2009/9/main" objectType="Drop" dropLines="20" dropStyle="combo" dx="16" fmlaLink="DD_FLU_TRAIN2_GROUP_C_5" fmlaRange="LU_FLU_RECC_PRICES_GROUP_C" noThreeD="1" sel="1" val="0"/>
</file>

<file path=xl/ctrlProps/ctrlProp526.xml><?xml version="1.0" encoding="utf-8"?>
<formControlPr xmlns="http://schemas.microsoft.com/office/spreadsheetml/2009/9/main" objectType="Drop" dropLines="20" dropStyle="combo" dx="16" fmlaLink="DD_FLU_TRAIN2_GROUP_C_6" fmlaRange="LU_FLU_RECC_PRICES_GROUP_C" noThreeD="1" sel="1" val="0"/>
</file>

<file path=xl/ctrlProps/ctrlProp527.xml><?xml version="1.0" encoding="utf-8"?>
<formControlPr xmlns="http://schemas.microsoft.com/office/spreadsheetml/2009/9/main" objectType="Drop" dropLines="20" dropStyle="combo" dx="16" fmlaLink="DD_FLU_TRAIN2_GROUP_D_1" fmlaRange="LU_FLU_RECC_PRICES_GROUP_D" noThreeD="1" sel="1" val="0"/>
</file>

<file path=xl/ctrlProps/ctrlProp528.xml><?xml version="1.0" encoding="utf-8"?>
<formControlPr xmlns="http://schemas.microsoft.com/office/spreadsheetml/2009/9/main" objectType="Drop" dropLines="20" dropStyle="combo" dx="16" fmlaLink="DD_FLU_TRAIN2_GROUP_D_2" fmlaRange="LU_FLU_RECC_PRICES_GROUP_D" noThreeD="1" sel="1" val="0"/>
</file>

<file path=xl/ctrlProps/ctrlProp529.xml><?xml version="1.0" encoding="utf-8"?>
<formControlPr xmlns="http://schemas.microsoft.com/office/spreadsheetml/2009/9/main" objectType="Drop" dropLines="20" dropStyle="combo" dx="16" fmlaLink="DD_FLU_TRAIN2_GROUP_D_3" fmlaRange="LU_FLU_RECC_PRICES_GROUP_D" noThreeD="1" sel="1" val="0"/>
</file>

<file path=xl/ctrlProps/ctrlProp53.xml><?xml version="1.0" encoding="utf-8"?>
<formControlPr xmlns="http://schemas.microsoft.com/office/spreadsheetml/2009/9/main" objectType="Drop" dropLines="20" dropStyle="combo" dx="20" fmlaLink="$D$38" fmlaRange="LU_FLU_RECC_PRICES_GROUP_C" noThreeD="1" sel="1" val="0"/>
</file>

<file path=xl/ctrlProps/ctrlProp530.xml><?xml version="1.0" encoding="utf-8"?>
<formControlPr xmlns="http://schemas.microsoft.com/office/spreadsheetml/2009/9/main" objectType="Drop" dropLines="20" dropStyle="combo" dx="16" fmlaLink="DD_FLU_TRAIN2_GROUP_D_4" fmlaRange="LU_FLU_RECC_PRICES_GROUP_D" noThreeD="1" sel="1" val="0"/>
</file>

<file path=xl/ctrlProps/ctrlProp531.xml><?xml version="1.0" encoding="utf-8"?>
<formControlPr xmlns="http://schemas.microsoft.com/office/spreadsheetml/2009/9/main" objectType="Drop" dropLines="20" dropStyle="combo" dx="16" fmlaLink="DD_FLU_TRAIN2_GROUP_D_5" fmlaRange="LU_FLU_RECC_PRICES_GROUP_D" noThreeD="1" sel="1" val="0"/>
</file>

<file path=xl/ctrlProps/ctrlProp532.xml><?xml version="1.0" encoding="utf-8"?>
<formControlPr xmlns="http://schemas.microsoft.com/office/spreadsheetml/2009/9/main" objectType="Drop" dropLines="20" dropStyle="combo" dx="16" fmlaLink="DD_FLU_TRAIN2_GROUP_D_6" fmlaRange="LU_FLU_RECC_PRICES_GROUP_D" noThreeD="1" sel="1" val="0"/>
</file>

<file path=xl/ctrlProps/ctrlProp533.xml><?xml version="1.0" encoding="utf-8"?>
<formControlPr xmlns="http://schemas.microsoft.com/office/spreadsheetml/2009/9/main" objectType="Drop" dropLines="20" dropStyle="combo" dx="16" fmlaLink="DD_FLU_TRAIN2_GROUP_E_1" fmlaRange="LU_FLU_RECC_PRICES_GROUP_E" noThreeD="1" sel="2" val="0"/>
</file>

<file path=xl/ctrlProps/ctrlProp534.xml><?xml version="1.0" encoding="utf-8"?>
<formControlPr xmlns="http://schemas.microsoft.com/office/spreadsheetml/2009/9/main" objectType="Drop" dropLines="20" dropStyle="combo" dx="16" fmlaLink="DD_FLU_TRAIN2_GROUP_E_2" fmlaRange="LU_FLU_RECC_PRICES_GROUP_E" noThreeD="1" sel="1" val="0"/>
</file>

<file path=xl/ctrlProps/ctrlProp535.xml><?xml version="1.0" encoding="utf-8"?>
<formControlPr xmlns="http://schemas.microsoft.com/office/spreadsheetml/2009/9/main" objectType="Drop" dropLines="20" dropStyle="combo" dx="16" fmlaLink="DD_FLU_TRAIN2_GROUP_E_3" fmlaRange="LU_FLU_RECC_PRICES_GROUP_E" noThreeD="1" sel="1" val="0"/>
</file>

<file path=xl/ctrlProps/ctrlProp536.xml><?xml version="1.0" encoding="utf-8"?>
<formControlPr xmlns="http://schemas.microsoft.com/office/spreadsheetml/2009/9/main" objectType="Drop" dropLines="20" dropStyle="combo" dx="16" fmlaLink="DD_FLU_TRAIN2_GROUP_E_4" fmlaRange="LU_FLU_RECC_PRICES_GROUP_E" noThreeD="1" sel="1" val="0"/>
</file>

<file path=xl/ctrlProps/ctrlProp537.xml><?xml version="1.0" encoding="utf-8"?>
<formControlPr xmlns="http://schemas.microsoft.com/office/spreadsheetml/2009/9/main" objectType="Drop" dropLines="20" dropStyle="combo" dx="16" fmlaLink="DD_FLU_TRAIN2_GROUP_E_5" fmlaRange="LU_FLU_RECC_PRICES_GROUP_E" noThreeD="1" sel="1" val="0"/>
</file>

<file path=xl/ctrlProps/ctrlProp538.xml><?xml version="1.0" encoding="utf-8"?>
<formControlPr xmlns="http://schemas.microsoft.com/office/spreadsheetml/2009/9/main" objectType="Drop" dropLines="20" dropStyle="combo" dx="16" fmlaLink="DD_FLU_TRAIN2_GROUP_E_6" fmlaRange="LU_FLU_RECC_PRICES_GROUP_E" noThreeD="1" sel="1" val="0"/>
</file>

<file path=xl/ctrlProps/ctrlProp539.xml><?xml version="1.0" encoding="utf-8"?>
<formControlPr xmlns="http://schemas.microsoft.com/office/spreadsheetml/2009/9/main" objectType="Drop" dropLines="20" dropStyle="combo" dx="16" fmlaLink="DD_FLU_TRAIN2_GROUP_E_7" fmlaRange="LU_FLU_RECC_PRICES_GROUP_E" noThreeD="1" sel="1" val="0"/>
</file>

<file path=xl/ctrlProps/ctrlProp54.xml><?xml version="1.0" encoding="utf-8"?>
<formControlPr xmlns="http://schemas.microsoft.com/office/spreadsheetml/2009/9/main" objectType="Drop" dropLines="20" dropStyle="combo" dx="20" fmlaLink="$D$39" fmlaRange="LU_FLU_RECC_PRICES_GROUP_C" noThreeD="1" sel="1" val="0"/>
</file>

<file path=xl/ctrlProps/ctrlProp540.xml><?xml version="1.0" encoding="utf-8"?>
<formControlPr xmlns="http://schemas.microsoft.com/office/spreadsheetml/2009/9/main" objectType="Drop" dropLines="20" dropStyle="combo" dx="16" fmlaLink="DD_FLU_TRAIN_C_GROUP_C_1" fmlaRange="LU_FLU_RECC_PRICES_GROUP_C" noThreeD="1" sel="1" val="0"/>
</file>

<file path=xl/ctrlProps/ctrlProp541.xml><?xml version="1.0" encoding="utf-8"?>
<formControlPr xmlns="http://schemas.microsoft.com/office/spreadsheetml/2009/9/main" objectType="Drop" dropLines="20" dropStyle="combo" dx="16" fmlaLink="DD_FLU_TRAIN_C_GROUP_C_2" fmlaRange="LU_FLU_RECC_PRICES_GROUP_C" noThreeD="1" sel="1" val="0"/>
</file>

<file path=xl/ctrlProps/ctrlProp542.xml><?xml version="1.0" encoding="utf-8"?>
<formControlPr xmlns="http://schemas.microsoft.com/office/spreadsheetml/2009/9/main" objectType="Drop" dropLines="20" dropStyle="combo" dx="16" fmlaLink="DD_FLU_TRAIN_C_GROUP_C_3" fmlaRange="LU_FLU_RECC_PRICES_GROUP_C" noThreeD="1" sel="1" val="0"/>
</file>

<file path=xl/ctrlProps/ctrlProp543.xml><?xml version="1.0" encoding="utf-8"?>
<formControlPr xmlns="http://schemas.microsoft.com/office/spreadsheetml/2009/9/main" objectType="Drop" dropLines="20" dropStyle="combo" dx="16" fmlaLink="DD_FLU_TRAIN_C_GROUP_C_4" fmlaRange="LU_FLU_RECC_PRICES_GROUP_C" noThreeD="1" sel="1" val="0"/>
</file>

<file path=xl/ctrlProps/ctrlProp544.xml><?xml version="1.0" encoding="utf-8"?>
<formControlPr xmlns="http://schemas.microsoft.com/office/spreadsheetml/2009/9/main" objectType="Drop" dropLines="20" dropStyle="combo" dx="16" fmlaLink="DD_FLU_TRAIN_C_GROUP_C_5" fmlaRange="LU_FLU_RECC_PRICES_GROUP_C" noThreeD="1" sel="1" val="0"/>
</file>

<file path=xl/ctrlProps/ctrlProp545.xml><?xml version="1.0" encoding="utf-8"?>
<formControlPr xmlns="http://schemas.microsoft.com/office/spreadsheetml/2009/9/main" objectType="Drop" dropLines="20" dropStyle="combo" dx="16" fmlaLink="DD_FLU_TRAIN_C_GROUP_C_6" fmlaRange="LU_FLU_RECC_PRICES_GROUP_C" noThreeD="1" sel="1" val="0"/>
</file>

<file path=xl/ctrlProps/ctrlProp546.xml><?xml version="1.0" encoding="utf-8"?>
<formControlPr xmlns="http://schemas.microsoft.com/office/spreadsheetml/2009/9/main" objectType="Drop" dropLines="20" dropStyle="combo" dx="16" fmlaLink="DD_FLU_TRAIN_C_GROUP_D_1" fmlaRange="LU_FLU_RECC_PRICES_GROUP_D" noThreeD="1" sel="1" val="0"/>
</file>

<file path=xl/ctrlProps/ctrlProp547.xml><?xml version="1.0" encoding="utf-8"?>
<formControlPr xmlns="http://schemas.microsoft.com/office/spreadsheetml/2009/9/main" objectType="Drop" dropLines="20" dropStyle="combo" dx="16" fmlaLink="DD_FLU_TRAIN_C_GROUP_D_2" fmlaRange="LU_FLU_RECC_PRICES_GROUP_D" noThreeD="1" sel="1" val="0"/>
</file>

<file path=xl/ctrlProps/ctrlProp548.xml><?xml version="1.0" encoding="utf-8"?>
<formControlPr xmlns="http://schemas.microsoft.com/office/spreadsheetml/2009/9/main" objectType="Drop" dropLines="20" dropStyle="combo" dx="16" fmlaLink="DD_FLU_TRAIN_C_GROUP_D_3" fmlaRange="LU_FLU_RECC_PRICES_GROUP_D" noThreeD="1" sel="1" val="0"/>
</file>

<file path=xl/ctrlProps/ctrlProp549.xml><?xml version="1.0" encoding="utf-8"?>
<formControlPr xmlns="http://schemas.microsoft.com/office/spreadsheetml/2009/9/main" objectType="Drop" dropLines="20" dropStyle="combo" dx="16" fmlaLink="DD_FLU_TRAIN_C_GROUP_D_4" fmlaRange="LU_FLU_RECC_PRICES_GROUP_D" noThreeD="1" sel="1" val="0"/>
</file>

<file path=xl/ctrlProps/ctrlProp55.xml><?xml version="1.0" encoding="utf-8"?>
<formControlPr xmlns="http://schemas.microsoft.com/office/spreadsheetml/2009/9/main" objectType="Drop" dropLines="20" dropStyle="combo" dx="20" fmlaLink="$D$40" fmlaRange="LU_FLU_RECC_PRICES_GROUP_C" noThreeD="1" sel="1" val="0"/>
</file>

<file path=xl/ctrlProps/ctrlProp550.xml><?xml version="1.0" encoding="utf-8"?>
<formControlPr xmlns="http://schemas.microsoft.com/office/spreadsheetml/2009/9/main" objectType="Drop" dropLines="20" dropStyle="combo" dx="16" fmlaLink="DD_FLU_TRAIN_C_GROUP_D_5" fmlaRange="LU_FLU_RECC_PRICES_GROUP_D" noThreeD="1" sel="1" val="0"/>
</file>

<file path=xl/ctrlProps/ctrlProp551.xml><?xml version="1.0" encoding="utf-8"?>
<formControlPr xmlns="http://schemas.microsoft.com/office/spreadsheetml/2009/9/main" objectType="Drop" dropLines="20" dropStyle="combo" dx="16" fmlaLink="DD_FLU_TRAIN_C_GROUP_D_6" fmlaRange="LU_FLU_RECC_PRICES_GROUP_D" noThreeD="1" sel="1" val="0"/>
</file>

<file path=xl/ctrlProps/ctrlProp552.xml><?xml version="1.0" encoding="utf-8"?>
<formControlPr xmlns="http://schemas.microsoft.com/office/spreadsheetml/2009/9/main" objectType="Drop" dropLines="20" dropStyle="combo" dx="16" fmlaLink="DD_FLU_TRAIN_C_GROUP_E_1" fmlaRange="LU_FLU_RECC_PRICES_GROUP_E" noThreeD="1" sel="1" val="0"/>
</file>

<file path=xl/ctrlProps/ctrlProp553.xml><?xml version="1.0" encoding="utf-8"?>
<formControlPr xmlns="http://schemas.microsoft.com/office/spreadsheetml/2009/9/main" objectType="Drop" dropLines="20" dropStyle="combo" dx="16" fmlaLink="DD_FLU_TRAIN_C_GROUP_E_2" fmlaRange="LU_FLU_RECC_PRICES_GROUP_E" noThreeD="1" sel="1" val="0"/>
</file>

<file path=xl/ctrlProps/ctrlProp554.xml><?xml version="1.0" encoding="utf-8"?>
<formControlPr xmlns="http://schemas.microsoft.com/office/spreadsheetml/2009/9/main" objectType="Drop" dropLines="20" dropStyle="combo" dx="16" fmlaLink="DD_FLU_TRAIN_C_GROUP_E_3" fmlaRange="LU_FLU_RECC_PRICES_GROUP_E" noThreeD="1" sel="1" val="0"/>
</file>

<file path=xl/ctrlProps/ctrlProp555.xml><?xml version="1.0" encoding="utf-8"?>
<formControlPr xmlns="http://schemas.microsoft.com/office/spreadsheetml/2009/9/main" objectType="Drop" dropLines="20" dropStyle="combo" dx="16" fmlaLink="DD_FLU_TRAIN_C_GROUP_E_4" fmlaRange="LU_FLU_RECC_PRICES_GROUP_E" noThreeD="1" sel="1" val="0"/>
</file>

<file path=xl/ctrlProps/ctrlProp556.xml><?xml version="1.0" encoding="utf-8"?>
<formControlPr xmlns="http://schemas.microsoft.com/office/spreadsheetml/2009/9/main" objectType="Drop" dropLines="20" dropStyle="combo" dx="16" fmlaLink="DD_FLU_TRAIN_C_GROUP_E_5" fmlaRange="LU_FLU_RECC_PRICES_GROUP_E" noThreeD="1" sel="1" val="0"/>
</file>

<file path=xl/ctrlProps/ctrlProp557.xml><?xml version="1.0" encoding="utf-8"?>
<formControlPr xmlns="http://schemas.microsoft.com/office/spreadsheetml/2009/9/main" objectType="Drop" dropLines="20" dropStyle="combo" dx="16" fmlaLink="DD_FLU_TRAIN_C_GROUP_E_6" fmlaRange="LU_FLU_RECC_PRICES_GROUP_E" noThreeD="1" sel="1" val="0"/>
</file>

<file path=xl/ctrlProps/ctrlProp558.xml><?xml version="1.0" encoding="utf-8"?>
<formControlPr xmlns="http://schemas.microsoft.com/office/spreadsheetml/2009/9/main" objectType="Drop" dropLines="20" dropStyle="combo" dx="16" fmlaLink="DD_FLU_TRAIN_C_GROUP_E_7" fmlaRange="LU_FLU_RECC_PRICES_GROUP_E" noThreeD="1" sel="1" val="0"/>
</file>

<file path=xl/ctrlProps/ctrlProp559.xml><?xml version="1.0" encoding="utf-8"?>
<formControlPr xmlns="http://schemas.microsoft.com/office/spreadsheetml/2009/9/main" objectType="Drop" dropLines="20" dropStyle="combo" dx="20" fmlaLink="DD_FLU_TRAIN2_GROUP_D_7" fmlaRange="LU_FLU_RECC_PRICES_GROUP_D" noThreeD="1" sel="1" val="0"/>
</file>

<file path=xl/ctrlProps/ctrlProp56.xml><?xml version="1.0" encoding="utf-8"?>
<formControlPr xmlns="http://schemas.microsoft.com/office/spreadsheetml/2009/9/main" objectType="Drop" dropLines="20" dropStyle="combo" dx="20" fmlaLink="$D$41" fmlaRange="LU_FLU_RECC_PRICES_GROUP_C" noThreeD="1" sel="1" val="0"/>
</file>

<file path=xl/ctrlProps/ctrlProp560.xml><?xml version="1.0" encoding="utf-8"?>
<formControlPr xmlns="http://schemas.microsoft.com/office/spreadsheetml/2009/9/main" objectType="Drop" dropLines="20" dropStyle="combo" dx="20" fmlaLink="DD_FLU_TRAIN_C_GROUP_D_7" fmlaRange="LU_FLU_RECC_PRICES_GROUP_D" noThreeD="1" sel="1" val="0"/>
</file>

<file path=xl/ctrlProps/ctrlProp561.xml><?xml version="1.0" encoding="utf-8"?>
<formControlPr xmlns="http://schemas.microsoft.com/office/spreadsheetml/2009/9/main" objectType="Drop" dropLines="20" dropStyle="combo" dx="20" fmlaLink="DD_FLU_TRAIN2_GROUP_D_8" fmlaRange="LU_FLU_RECC_PRICES_GROUP_D" noThreeD="1" sel="1" val="0"/>
</file>

<file path=xl/ctrlProps/ctrlProp562.xml><?xml version="1.0" encoding="utf-8"?>
<formControlPr xmlns="http://schemas.microsoft.com/office/spreadsheetml/2009/9/main" objectType="Drop" dropLines="20" dropStyle="combo" dx="20" fmlaLink="DD_FLU_TRAIN2_GROUP_D_9" fmlaRange="LU_FLU_RECC_PRICES_GROUP_D" noThreeD="1" sel="1" val="0"/>
</file>

<file path=xl/ctrlProps/ctrlProp563.xml><?xml version="1.0" encoding="utf-8"?>
<formControlPr xmlns="http://schemas.microsoft.com/office/spreadsheetml/2009/9/main" objectType="Drop" dropLines="20" dropStyle="combo" dx="20" fmlaLink="DD_FLU_TRAIN2_GROUP_D_10" fmlaRange="LU_FLU_RECC_PRICES_GROUP_D" noThreeD="1" sel="1" val="0"/>
</file>

<file path=xl/ctrlProps/ctrlProp564.xml><?xml version="1.0" encoding="utf-8"?>
<formControlPr xmlns="http://schemas.microsoft.com/office/spreadsheetml/2009/9/main" objectType="Drop" dropLines="20" dropStyle="combo" dx="20" fmlaLink="DD_FLU_TRAIN_C_GROUP_D_8" fmlaRange="LU_FLU_RECC_PRICES_GROUP_D" noThreeD="1" sel="1" val="0"/>
</file>

<file path=xl/ctrlProps/ctrlProp565.xml><?xml version="1.0" encoding="utf-8"?>
<formControlPr xmlns="http://schemas.microsoft.com/office/spreadsheetml/2009/9/main" objectType="Drop" dropLines="20" dropStyle="combo" dx="20" fmlaLink="DD_FLU_TRAIN_C_GROUP_D_9" fmlaRange="LU_FLU_RECC_PRICES_GROUP_D" noThreeD="1" sel="1" val="0"/>
</file>

<file path=xl/ctrlProps/ctrlProp566.xml><?xml version="1.0" encoding="utf-8"?>
<formControlPr xmlns="http://schemas.microsoft.com/office/spreadsheetml/2009/9/main" objectType="Drop" dropLines="20" dropStyle="combo" dx="20" fmlaLink="DD_FLU_TRAIN_C_GROUP_D_10" fmlaRange="LU_FLU_RECC_PRICES_GROUP_D" noThreeD="1" sel="1" val="0"/>
</file>

<file path=xl/ctrlProps/ctrlProp567.xml><?xml version="1.0" encoding="utf-8"?>
<formControlPr xmlns="http://schemas.microsoft.com/office/spreadsheetml/2009/9/main" objectType="Drop" dropLines="20" dropStyle="combo" dx="20" fmlaLink="DD_FLU_TRAIN_GROUP_D_6" fmlaRange="LU_FLU_RECC_PRICES_GROUP_D" noThreeD="1" sel="1" val="0"/>
</file>

<file path=xl/ctrlProps/ctrlProp568.xml><?xml version="1.0" encoding="utf-8"?>
<formControlPr xmlns="http://schemas.microsoft.com/office/spreadsheetml/2009/9/main" objectType="Drop" dropLines="20" dropStyle="combo" dx="20" fmlaLink="DD_FLU_TRAIN_GROUP_D_7" fmlaRange="LU_FLU_RECC_PRICES_GROUP_D" noThreeD="1" sel="1" val="0"/>
</file>

<file path=xl/ctrlProps/ctrlProp569.xml><?xml version="1.0" encoding="utf-8"?>
<formControlPr xmlns="http://schemas.microsoft.com/office/spreadsheetml/2009/9/main" objectType="Drop" dropLines="20" dropStyle="combo" dx="20" fmlaLink="DD_FLU_TRAIN_GROUP_D_8" fmlaRange="LU_FLU_RECC_PRICES_GROUP_D" noThreeD="1" sel="1" val="0"/>
</file>

<file path=xl/ctrlProps/ctrlProp57.xml><?xml version="1.0" encoding="utf-8"?>
<formControlPr xmlns="http://schemas.microsoft.com/office/spreadsheetml/2009/9/main" objectType="Drop" dropLines="20" dropStyle="combo" dx="20" fmlaLink="$D$42" fmlaRange="LU_FLU_RECC_PRICES_GROUP_C" noThreeD="1" sel="1" val="0"/>
</file>

<file path=xl/ctrlProps/ctrlProp570.xml><?xml version="1.0" encoding="utf-8"?>
<formControlPr xmlns="http://schemas.microsoft.com/office/spreadsheetml/2009/9/main" objectType="Drop" dropLines="20" dropStyle="combo" dx="20" fmlaLink="DD_FLU_TRAIN_GROUP_D_9" fmlaRange="LU_FLU_RECC_PRICES_GROUP_D" noThreeD="1" sel="1" val="0"/>
</file>

<file path=xl/ctrlProps/ctrlProp571.xml><?xml version="1.0" encoding="utf-8"?>
<formControlPr xmlns="http://schemas.microsoft.com/office/spreadsheetml/2009/9/main" objectType="Drop" dropLines="20" dropStyle="combo" dx="20" fmlaLink="DD_FLU_TRAIN_GROUP_D_10" fmlaRange="LU_FLU_RECC_PRICES_GROUP_D" noThreeD="1" sel="1" val="0"/>
</file>

<file path=xl/ctrlProps/ctrlProp572.xml><?xml version="1.0" encoding="utf-8"?>
<formControlPr xmlns="http://schemas.microsoft.com/office/spreadsheetml/2009/9/main" objectType="Drop" dropLines="20" dropStyle="combo" dx="16" fmlaLink="$I$13" fmlaRange="LU_FLU_Personnel_Unit_Cost_Categories" noThreeD="1" sel="1" val="0"/>
</file>

<file path=xl/ctrlProps/ctrlProp573.xml><?xml version="1.0" encoding="utf-8"?>
<formControlPr xmlns="http://schemas.microsoft.com/office/spreadsheetml/2009/9/main" objectType="Drop" dropLines="20" dropStyle="combo" dx="16" fmlaLink="$I$14" fmlaRange="LU_FLU_Personnel_Unit_Cost_Categories" noThreeD="1" sel="1" val="0"/>
</file>

<file path=xl/ctrlProps/ctrlProp574.xml><?xml version="1.0" encoding="utf-8"?>
<formControlPr xmlns="http://schemas.microsoft.com/office/spreadsheetml/2009/9/main" objectType="Drop" dropLines="20" dropStyle="combo" dx="16" fmlaLink="$I$15" fmlaRange="LU_FLU_Personnel_Unit_Cost_Categories" noThreeD="1" sel="1" val="0"/>
</file>

<file path=xl/ctrlProps/ctrlProp575.xml><?xml version="1.0" encoding="utf-8"?>
<formControlPr xmlns="http://schemas.microsoft.com/office/spreadsheetml/2009/9/main" objectType="Drop" dropLines="20" dropStyle="combo" dx="16" fmlaLink="$I$16" fmlaRange="LU_FLU_Personnel_Unit_Cost_Categories" noThreeD="1" sel="1" val="0"/>
</file>

<file path=xl/ctrlProps/ctrlProp576.xml><?xml version="1.0" encoding="utf-8"?>
<formControlPr xmlns="http://schemas.microsoft.com/office/spreadsheetml/2009/9/main" objectType="Drop" dropLines="20" dropStyle="combo" dx="16" fmlaLink="$I$17" fmlaRange="LU_FLU_Personnel_Unit_Cost_Categories" noThreeD="1" sel="1" val="0"/>
</file>

<file path=xl/ctrlProps/ctrlProp577.xml><?xml version="1.0" encoding="utf-8"?>
<formControlPr xmlns="http://schemas.microsoft.com/office/spreadsheetml/2009/9/main" objectType="Drop" dropLines="20" dropStyle="combo" dx="16" fmlaLink="$I$18" fmlaRange="LU_FLU_Personnel_Unit_Cost_Categories" noThreeD="1" sel="1" val="0"/>
</file>

<file path=xl/ctrlProps/ctrlProp578.xml><?xml version="1.0" encoding="utf-8"?>
<formControlPr xmlns="http://schemas.microsoft.com/office/spreadsheetml/2009/9/main" objectType="Drop" dropLines="20" dropStyle="combo" dx="16" fmlaLink="$I$19" fmlaRange="LU_FLU_Personnel_Unit_Cost_Categories" noThreeD="1" sel="1" val="0"/>
</file>

<file path=xl/ctrlProps/ctrlProp579.xml><?xml version="1.0" encoding="utf-8"?>
<formControlPr xmlns="http://schemas.microsoft.com/office/spreadsheetml/2009/9/main" objectType="Drop" dropLines="20" dropStyle="combo" dx="16" fmlaLink="$I$20" fmlaRange="LU_FLU_Personnel_Unit_Cost_Categories" noThreeD="1" sel="1" val="0"/>
</file>

<file path=xl/ctrlProps/ctrlProp58.xml><?xml version="1.0" encoding="utf-8"?>
<formControlPr xmlns="http://schemas.microsoft.com/office/spreadsheetml/2009/9/main" objectType="Drop" dropLines="20" dropStyle="combo" dx="20" fmlaLink="$D$43" fmlaRange="LU_FLU_RECC_PRICES_GROUP_C" noThreeD="1" sel="1" val="0"/>
</file>

<file path=xl/ctrlProps/ctrlProp580.xml><?xml version="1.0" encoding="utf-8"?>
<formControlPr xmlns="http://schemas.microsoft.com/office/spreadsheetml/2009/9/main" objectType="Drop" dropLines="20" dropStyle="combo" dx="16" fmlaLink="$I$21" fmlaRange="LU_FLU_Personnel_Unit_Cost_Categories" noThreeD="1" sel="1" val="0"/>
</file>

<file path=xl/ctrlProps/ctrlProp581.xml><?xml version="1.0" encoding="utf-8"?>
<formControlPr xmlns="http://schemas.microsoft.com/office/spreadsheetml/2009/9/main" objectType="Drop" dropLines="20" dropStyle="combo" dx="16" fmlaLink="$I$22" fmlaRange="LU_FLU_Personnel_Unit_Cost_Categories" noThreeD="1" sel="1" val="0"/>
</file>

<file path=xl/ctrlProps/ctrlProp582.xml><?xml version="1.0" encoding="utf-8"?>
<formControlPr xmlns="http://schemas.microsoft.com/office/spreadsheetml/2009/9/main" objectType="Drop" dropLines="20" dropStyle="combo" dx="16" fmlaLink="$I$23" fmlaRange="LU_FLU_Personnel_Unit_Cost_Categories" noThreeD="1" sel="1" val="0"/>
</file>

<file path=xl/ctrlProps/ctrlProp583.xml><?xml version="1.0" encoding="utf-8"?>
<formControlPr xmlns="http://schemas.microsoft.com/office/spreadsheetml/2009/9/main" objectType="Drop" dropLines="20" dropStyle="combo" dx="16" fmlaLink="$I$24" fmlaRange="LU_FLU_Personnel_Unit_Cost_Categories" noThreeD="1" sel="1" val="0"/>
</file>

<file path=xl/ctrlProps/ctrlProp584.xml><?xml version="1.0" encoding="utf-8"?>
<formControlPr xmlns="http://schemas.microsoft.com/office/spreadsheetml/2009/9/main" objectType="Drop" dropLines="20" dropStyle="combo" dx="16" fmlaLink="$I$25" fmlaRange="LU_FLU_Personnel_Unit_Cost_Categories" noThreeD="1" sel="1" val="0"/>
</file>

<file path=xl/ctrlProps/ctrlProp585.xml><?xml version="1.0" encoding="utf-8"?>
<formControlPr xmlns="http://schemas.microsoft.com/office/spreadsheetml/2009/9/main" objectType="Drop" dropLines="20" dropStyle="combo" dx="16" fmlaLink="$I$26" fmlaRange="LU_FLU_Personnel_Unit_Cost_Categories" noThreeD="1" sel="1" val="0"/>
</file>

<file path=xl/ctrlProps/ctrlProp586.xml><?xml version="1.0" encoding="utf-8"?>
<formControlPr xmlns="http://schemas.microsoft.com/office/spreadsheetml/2009/9/main" objectType="Drop" dropLines="20" dropStyle="combo" dx="16" fmlaLink="$I$27" fmlaRange="LU_FLU_Personnel_Unit_Cost_Categories" noThreeD="1" sel="1" val="0"/>
</file>

<file path=xl/ctrlProps/ctrlProp587.xml><?xml version="1.0" encoding="utf-8"?>
<formControlPr xmlns="http://schemas.microsoft.com/office/spreadsheetml/2009/9/main" objectType="Drop" dropLines="20" dropStyle="combo" dx="16" fmlaLink="DD_FLU_TRAIN_GROUP_B_1" fmlaRange="LU_FLU_RECC_PRICES_GROUP_A" noThreeD="1" sel="1" val="0"/>
</file>

<file path=xl/ctrlProps/ctrlProp588.xml><?xml version="1.0" encoding="utf-8"?>
<formControlPr xmlns="http://schemas.microsoft.com/office/spreadsheetml/2009/9/main" objectType="Drop" dropLines="20" dropStyle="combo" dx="16" fmlaLink="DD_FLU_TRAIN_GROUP_B_2" fmlaRange="LU_FLU_RECC_PRICES_GROUP_A" noThreeD="1" sel="1" val="0"/>
</file>

<file path=xl/ctrlProps/ctrlProp589.xml><?xml version="1.0" encoding="utf-8"?>
<formControlPr xmlns="http://schemas.microsoft.com/office/spreadsheetml/2009/9/main" objectType="Drop" dropLines="20" dropStyle="combo" dx="16" fmlaLink="DD_FLU_TRAIN_GROUP_B_3" fmlaRange="LU_FLU_RECC_PRICES_GROUP_A" noThreeD="1" sel="1" val="0"/>
</file>

<file path=xl/ctrlProps/ctrlProp59.xml><?xml version="1.0" encoding="utf-8"?>
<formControlPr xmlns="http://schemas.microsoft.com/office/spreadsheetml/2009/9/main" objectType="Drop" dropLines="20" dropStyle="combo" dx="20" fmlaLink="$D$44" fmlaRange="LU_FLU_RECC_PRICES_GROUP_C" noThreeD="1" sel="1" val="0"/>
</file>

<file path=xl/ctrlProps/ctrlProp590.xml><?xml version="1.0" encoding="utf-8"?>
<formControlPr xmlns="http://schemas.microsoft.com/office/spreadsheetml/2009/9/main" objectType="Drop" dropLines="20" dropStyle="combo" dx="16" fmlaLink="DD_FLU_TRAIN_GROUP_B_4" fmlaRange="LU_FLU_RECC_PRICES_GROUP_A" noThreeD="1" sel="1" val="0"/>
</file>

<file path=xl/ctrlProps/ctrlProp591.xml><?xml version="1.0" encoding="utf-8"?>
<formControlPr xmlns="http://schemas.microsoft.com/office/spreadsheetml/2009/9/main" objectType="Drop" dropLines="20" dropStyle="combo" dx="16" fmlaLink="DD_FLU_TRAIN_GROUP_B_5" fmlaRange="LU_FLU_RECC_PRICES_GROUP_A" noThreeD="1" sel="1" val="0"/>
</file>

<file path=xl/ctrlProps/ctrlProp592.xml><?xml version="1.0" encoding="utf-8"?>
<formControlPr xmlns="http://schemas.microsoft.com/office/spreadsheetml/2009/9/main" objectType="Drop" dropLines="20" dropStyle="combo" dx="16" fmlaLink="DD_FLU_TRAIN_GROUP_B_6" fmlaRange="LU_FLU_RECC_PRICES_GROUP_A" noThreeD="1" sel="1" val="0"/>
</file>

<file path=xl/ctrlProps/ctrlProp593.xml><?xml version="1.0" encoding="utf-8"?>
<formControlPr xmlns="http://schemas.microsoft.com/office/spreadsheetml/2009/9/main" objectType="Drop" dropLines="20" dropStyle="combo" dx="16" fmlaLink="DD_FLU_TRAIN_GROUP_B_7" fmlaRange="LU_FLU_RECC_PRICES_GROUP_A" noThreeD="1" sel="1" val="0"/>
</file>

<file path=xl/ctrlProps/ctrlProp594.xml><?xml version="1.0" encoding="utf-8"?>
<formControlPr xmlns="http://schemas.microsoft.com/office/spreadsheetml/2009/9/main" objectType="Drop" dropLines="20" dropStyle="combo" dx="16" fmlaLink="DD_FLU_TRAIN_GROUP_B_8" fmlaRange="LU_FLU_RECC_PRICES_GROUP_A" noThreeD="1" sel="1" val="0"/>
</file>

<file path=xl/ctrlProps/ctrlProp595.xml><?xml version="1.0" encoding="utf-8"?>
<formControlPr xmlns="http://schemas.microsoft.com/office/spreadsheetml/2009/9/main" objectType="Drop" dropLines="20" dropStyle="combo" dx="16" fmlaLink="DD_FLU_TRAIN_GROUP_B_9" fmlaRange="LU_FLU_RECC_PRICES_GROUP_A" noThreeD="1" sel="1" val="0"/>
</file>

<file path=xl/ctrlProps/ctrlProp596.xml><?xml version="1.0" encoding="utf-8"?>
<formControlPr xmlns="http://schemas.microsoft.com/office/spreadsheetml/2009/9/main" objectType="Drop" dropLines="20" dropStyle="combo" dx="16" fmlaLink="DD_FLU_TRAIN_GROUP_B_10" fmlaRange="LU_FLU_RECC_PRICES_GROUP_A" noThreeD="1" sel="1" val="0"/>
</file>

<file path=xl/ctrlProps/ctrlProp597.xml><?xml version="1.0" encoding="utf-8"?>
<formControlPr xmlns="http://schemas.microsoft.com/office/spreadsheetml/2009/9/main" objectType="Drop" dropLines="20" dropStyle="combo" dx="16" fmlaLink="DD_FLU_TRAIN_GROUP_B_11" fmlaRange="LU_FLU_RECC_PRICES_GROUP_A" noThreeD="1" sel="1" val="0"/>
</file>

<file path=xl/ctrlProps/ctrlProp598.xml><?xml version="1.0" encoding="utf-8"?>
<formControlPr xmlns="http://schemas.microsoft.com/office/spreadsheetml/2009/9/main" objectType="Drop" dropLines="20" dropStyle="combo" dx="16" fmlaLink="DD_FLU_TRAIN_GROUP_B_12" fmlaRange="LU_FLU_RECC_PRICES_GROUP_A" noThreeD="1" sel="1" val="0"/>
</file>

<file path=xl/ctrlProps/ctrlProp599.xml><?xml version="1.0" encoding="utf-8"?>
<formControlPr xmlns="http://schemas.microsoft.com/office/spreadsheetml/2009/9/main" objectType="Drop" dropLines="20" dropStyle="combo" dx="16" fmlaLink="DD_FLU_TRAIN_GROUP_B_13" fmlaRange="LU_FLU_RECC_PRICES_GROUP_A" noThreeD="1" sel="1" val="0"/>
</file>

<file path=xl/ctrlProps/ctrlProp6.xml><?xml version="1.0" encoding="utf-8"?>
<formControlPr xmlns="http://schemas.microsoft.com/office/spreadsheetml/2009/9/main" objectType="Drop" dropLines="2" dropStyle="combo" dx="16" fmlaLink="$G$2" fmlaRange="LU_FLU_Curr_Code" noThreeD="1" sel="1" val="0"/>
</file>

<file path=xl/ctrlProps/ctrlProp60.xml><?xml version="1.0" encoding="utf-8"?>
<formControlPr xmlns="http://schemas.microsoft.com/office/spreadsheetml/2009/9/main" objectType="Drop" dropLines="20" dropStyle="combo" dx="20" fmlaLink="$D$45" fmlaRange="LU_FLU_RECC_PRICES_GROUP_C" noThreeD="1" sel="1" val="0"/>
</file>

<file path=xl/ctrlProps/ctrlProp600.xml><?xml version="1.0" encoding="utf-8"?>
<formControlPr xmlns="http://schemas.microsoft.com/office/spreadsheetml/2009/9/main" objectType="Drop" dropLines="20" dropStyle="combo" dx="16" fmlaLink="DD_FLU_TRAIN_GROUP_B_14" fmlaRange="LU_FLU_RECC_PRICES_GROUP_A" noThreeD="1" sel="1" val="0"/>
</file>

<file path=xl/ctrlProps/ctrlProp601.xml><?xml version="1.0" encoding="utf-8"?>
<formControlPr xmlns="http://schemas.microsoft.com/office/spreadsheetml/2009/9/main" objectType="Drop" dropLines="20" dropStyle="combo" dx="16" fmlaLink="DD_FLU_TRAIN_GROUP_B_15" fmlaRange="LU_FLU_RECC_PRICES_GROUP_A" noThreeD="1" sel="1" val="0"/>
</file>

<file path=xl/ctrlProps/ctrlProp602.xml><?xml version="1.0" encoding="utf-8"?>
<formControlPr xmlns="http://schemas.microsoft.com/office/spreadsheetml/2009/9/main" objectType="Drop" dropLines="20" dropStyle="combo" dx="16" fmlaLink="DD_FLU_TRAIN2_GROUP_B_1" fmlaRange="LU_FLU_RECC_PRICES_GROUP_A" noThreeD="1" sel="1" val="0"/>
</file>

<file path=xl/ctrlProps/ctrlProp603.xml><?xml version="1.0" encoding="utf-8"?>
<formControlPr xmlns="http://schemas.microsoft.com/office/spreadsheetml/2009/9/main" objectType="Drop" dropLines="20" dropStyle="combo" dx="16" fmlaLink="DD_FLU_TRAIN2_GROUP_B_2" fmlaRange="LU_FLU_RECC_PRICES_GROUP_A" noThreeD="1" sel="1" val="0"/>
</file>

<file path=xl/ctrlProps/ctrlProp604.xml><?xml version="1.0" encoding="utf-8"?>
<formControlPr xmlns="http://schemas.microsoft.com/office/spreadsheetml/2009/9/main" objectType="Drop" dropLines="20" dropStyle="combo" dx="16" fmlaLink="DD_FLU_TRAIN2_GROUP_B_3" fmlaRange="LU_FLU_RECC_PRICES_GROUP_A" noThreeD="1" sel="1" val="0"/>
</file>

<file path=xl/ctrlProps/ctrlProp605.xml><?xml version="1.0" encoding="utf-8"?>
<formControlPr xmlns="http://schemas.microsoft.com/office/spreadsheetml/2009/9/main" objectType="Drop" dropLines="20" dropStyle="combo" dx="16" fmlaLink="DD_FLU_TRAIN2_GROUP_B_4" fmlaRange="LU_FLU_RECC_PRICES_GROUP_A" noThreeD="1" sel="1" val="0"/>
</file>

<file path=xl/ctrlProps/ctrlProp606.xml><?xml version="1.0" encoding="utf-8"?>
<formControlPr xmlns="http://schemas.microsoft.com/office/spreadsheetml/2009/9/main" objectType="Drop" dropLines="20" dropStyle="combo" dx="16" fmlaLink="DD_FLU_TRAIN2_GROUP_B_5" fmlaRange="LU_FLU_RECC_PRICES_GROUP_A" noThreeD="1" sel="1" val="0"/>
</file>

<file path=xl/ctrlProps/ctrlProp607.xml><?xml version="1.0" encoding="utf-8"?>
<formControlPr xmlns="http://schemas.microsoft.com/office/spreadsheetml/2009/9/main" objectType="Drop" dropLines="20" dropStyle="combo" dx="16" fmlaLink="DD_FLU_TRAIN2_GROUP_B_6" fmlaRange="LU_FLU_RECC_PRICES_GROUP_A" noThreeD="1" sel="1" val="0"/>
</file>

<file path=xl/ctrlProps/ctrlProp608.xml><?xml version="1.0" encoding="utf-8"?>
<formControlPr xmlns="http://schemas.microsoft.com/office/spreadsheetml/2009/9/main" objectType="Drop" dropLines="20" dropStyle="combo" dx="16" fmlaLink="$I$75" fmlaRange="LU_FLU_Personnel_Unit_Cost_Categories" noThreeD="1" sel="1" val="0"/>
</file>

<file path=xl/ctrlProps/ctrlProp609.xml><?xml version="1.0" encoding="utf-8"?>
<formControlPr xmlns="http://schemas.microsoft.com/office/spreadsheetml/2009/9/main" objectType="Drop" dropLines="20" dropStyle="combo" dx="16" fmlaLink="$I$76" fmlaRange="LU_FLU_Personnel_Unit_Cost_Categories" noThreeD="1" sel="1" val="0"/>
</file>

<file path=xl/ctrlProps/ctrlProp61.xml><?xml version="1.0" encoding="utf-8"?>
<formControlPr xmlns="http://schemas.microsoft.com/office/spreadsheetml/2009/9/main" objectType="Drop" dropLines="20" dropStyle="combo" dx="20" fmlaLink="$D$46" fmlaRange="LU_FLU_RECC_PRICES_GROUP_C" noThreeD="1" sel="1" val="0"/>
</file>

<file path=xl/ctrlProps/ctrlProp610.xml><?xml version="1.0" encoding="utf-8"?>
<formControlPr xmlns="http://schemas.microsoft.com/office/spreadsheetml/2009/9/main" objectType="Drop" dropLines="20" dropStyle="combo" dx="16" fmlaLink="$I$77" fmlaRange="LU_FLU_Personnel_Unit_Cost_Categories" noThreeD="1" sel="1" val="0"/>
</file>

<file path=xl/ctrlProps/ctrlProp611.xml><?xml version="1.0" encoding="utf-8"?>
<formControlPr xmlns="http://schemas.microsoft.com/office/spreadsheetml/2009/9/main" objectType="Drop" dropLines="20" dropStyle="combo" dx="16" fmlaLink="$I$78" fmlaRange="LU_FLU_Personnel_Unit_Cost_Categories" noThreeD="1" sel="1" val="0"/>
</file>

<file path=xl/ctrlProps/ctrlProp612.xml><?xml version="1.0" encoding="utf-8"?>
<formControlPr xmlns="http://schemas.microsoft.com/office/spreadsheetml/2009/9/main" objectType="Drop" dropLines="20" dropStyle="combo" dx="16" fmlaLink="$I$79" fmlaRange="LU_FLU_Personnel_Unit_Cost_Categories" noThreeD="1" sel="1" val="0"/>
</file>

<file path=xl/ctrlProps/ctrlProp613.xml><?xml version="1.0" encoding="utf-8"?>
<formControlPr xmlns="http://schemas.microsoft.com/office/spreadsheetml/2009/9/main" objectType="Drop" dropLines="20" dropStyle="combo" dx="16" fmlaLink="$I$80" fmlaRange="LU_FLU_Personnel_Unit_Cost_Categories" noThreeD="1" sel="1" val="0"/>
</file>

<file path=xl/ctrlProps/ctrlProp614.xml><?xml version="1.0" encoding="utf-8"?>
<formControlPr xmlns="http://schemas.microsoft.com/office/spreadsheetml/2009/9/main" objectType="Drop" dropLines="20" dropStyle="combo" dx="16" fmlaLink="$I$126" fmlaRange="LU_FLU_Personnel_Unit_Cost_Categories" noThreeD="1" sel="1" val="0"/>
</file>

<file path=xl/ctrlProps/ctrlProp615.xml><?xml version="1.0" encoding="utf-8"?>
<formControlPr xmlns="http://schemas.microsoft.com/office/spreadsheetml/2009/9/main" objectType="Drop" dropLines="20" dropStyle="combo" dx="16" fmlaLink="$I$127" fmlaRange="LU_FLU_Personnel_Unit_Cost_Categories" noThreeD="1" sel="1" val="0"/>
</file>

<file path=xl/ctrlProps/ctrlProp616.xml><?xml version="1.0" encoding="utf-8"?>
<formControlPr xmlns="http://schemas.microsoft.com/office/spreadsheetml/2009/9/main" objectType="Drop" dropLines="20" dropStyle="combo" dx="16" fmlaLink="$I$128" fmlaRange="LU_FLU_Personnel_Unit_Cost_Categories" noThreeD="1" sel="1" val="0"/>
</file>

<file path=xl/ctrlProps/ctrlProp617.xml><?xml version="1.0" encoding="utf-8"?>
<formControlPr xmlns="http://schemas.microsoft.com/office/spreadsheetml/2009/9/main" objectType="Drop" dropLines="20" dropStyle="combo" dx="16" fmlaLink="$I$129" fmlaRange="LU_FLU_Personnel_Unit_Cost_Categories" noThreeD="1" sel="1" val="0"/>
</file>

<file path=xl/ctrlProps/ctrlProp618.xml><?xml version="1.0" encoding="utf-8"?>
<formControlPr xmlns="http://schemas.microsoft.com/office/spreadsheetml/2009/9/main" objectType="Drop" dropLines="20" dropStyle="combo" dx="16" fmlaLink="$I$130" fmlaRange="LU_FLU_Personnel_Unit_Cost_Categories" noThreeD="1" sel="1" val="0"/>
</file>

<file path=xl/ctrlProps/ctrlProp619.xml><?xml version="1.0" encoding="utf-8"?>
<formControlPr xmlns="http://schemas.microsoft.com/office/spreadsheetml/2009/9/main" objectType="Drop" dropLines="20" dropStyle="combo" dx="16" fmlaLink="$I$131" fmlaRange="LU_FLU_Personnel_Unit_Cost_Categories" noThreeD="1" sel="1" val="0"/>
</file>

<file path=xl/ctrlProps/ctrlProp62.xml><?xml version="1.0" encoding="utf-8"?>
<formControlPr xmlns="http://schemas.microsoft.com/office/spreadsheetml/2009/9/main" objectType="Drop" dropLines="20" dropStyle="combo" dx="20" fmlaLink="$D$47" fmlaRange="LU_FLU_RECC_PRICES_GROUP_C" noThreeD="1" sel="1" val="0"/>
</file>

<file path=xl/ctrlProps/ctrlProp620.xml><?xml version="1.0" encoding="utf-8"?>
<formControlPr xmlns="http://schemas.microsoft.com/office/spreadsheetml/2009/9/main" objectType="Drop" dropLines="20" dropStyle="combo" dx="16" fmlaLink="DD_FLU_TRAIN_C_GROUP_B_1" fmlaRange="LU_FLU_RECC_PRICES_GROUP_A" noThreeD="1" sel="1" val="0"/>
</file>

<file path=xl/ctrlProps/ctrlProp621.xml><?xml version="1.0" encoding="utf-8"?>
<formControlPr xmlns="http://schemas.microsoft.com/office/spreadsheetml/2009/9/main" objectType="Drop" dropLines="20" dropStyle="combo" dx="16" fmlaLink="DD_FLU_TRAIN_C_GROUP_B_2" fmlaRange="LU_FLU_RECC_PRICES_GROUP_A" noThreeD="1" sel="1" val="0"/>
</file>

<file path=xl/ctrlProps/ctrlProp622.xml><?xml version="1.0" encoding="utf-8"?>
<formControlPr xmlns="http://schemas.microsoft.com/office/spreadsheetml/2009/9/main" objectType="Drop" dropLines="20" dropStyle="combo" dx="16" fmlaLink="DD_FLU_TRAIN_C_GROUP_B_3" fmlaRange="LU_FLU_RECC_PRICES_GROUP_A" noThreeD="1" sel="1" val="0"/>
</file>

<file path=xl/ctrlProps/ctrlProp623.xml><?xml version="1.0" encoding="utf-8"?>
<formControlPr xmlns="http://schemas.microsoft.com/office/spreadsheetml/2009/9/main" objectType="Drop" dropLines="20" dropStyle="combo" dx="16" fmlaLink="DD_FLU_TRAIN_C_GROUP_B_4" fmlaRange="LU_FLU_RECC_PRICES_GROUP_A" noThreeD="1" sel="1" val="0"/>
</file>

<file path=xl/ctrlProps/ctrlProp624.xml><?xml version="1.0" encoding="utf-8"?>
<formControlPr xmlns="http://schemas.microsoft.com/office/spreadsheetml/2009/9/main" objectType="Drop" dropLines="20" dropStyle="combo" dx="16" fmlaLink="DD_FLU_TRAIN_C_GROUP_B_5" fmlaRange="LU_FLU_RECC_PRICES_GROUP_A" noThreeD="1" sel="1" val="0"/>
</file>

<file path=xl/ctrlProps/ctrlProp625.xml><?xml version="1.0" encoding="utf-8"?>
<formControlPr xmlns="http://schemas.microsoft.com/office/spreadsheetml/2009/9/main" objectType="Drop" dropLines="20" dropStyle="combo" dx="16" fmlaLink="DD_FLU_TRAIN_C_GROUP_B_6" fmlaRange="LU_FLU_RECC_PRICES_GROUP_A" noThreeD="1" sel="1" val="0"/>
</file>

<file path=xl/ctrlProps/ctrlProp626.xml><?xml version="1.0" encoding="utf-8"?>
<formControlPr xmlns="http://schemas.microsoft.com/office/spreadsheetml/2009/9/main" objectType="Drop" dropLines="20" dropStyle="combo" dx="16" fmlaLink="DD_FLU_SOCMOB1_GROUP_C_1" fmlaRange="LU_FLU_RECC_PRICES_GROUP_C" noThreeD="1" sel="2" val="0"/>
</file>

<file path=xl/ctrlProps/ctrlProp627.xml><?xml version="1.0" encoding="utf-8"?>
<formControlPr xmlns="http://schemas.microsoft.com/office/spreadsheetml/2009/9/main" objectType="Drop" dropLines="20" dropStyle="combo" dx="16" fmlaLink="DD_FLU_SOCMOB1_GROUP_C_2" fmlaRange="LU_FLU_RECC_PRICES_GROUP_C" noThreeD="1" sel="1" val="0"/>
</file>

<file path=xl/ctrlProps/ctrlProp628.xml><?xml version="1.0" encoding="utf-8"?>
<formControlPr xmlns="http://schemas.microsoft.com/office/spreadsheetml/2009/9/main" objectType="Drop" dropLines="20" dropStyle="combo" dx="16" fmlaLink="DD_FLU_SOCMOB1_GROUP_C_3" fmlaRange="LU_FLU_RECC_PRICES_GROUP_C" noThreeD="1" sel="1" val="0"/>
</file>

<file path=xl/ctrlProps/ctrlProp629.xml><?xml version="1.0" encoding="utf-8"?>
<formControlPr xmlns="http://schemas.microsoft.com/office/spreadsheetml/2009/9/main" objectType="Drop" dropLines="20" dropStyle="combo" dx="16" fmlaLink="DD_FLU_SOCMOB1_GROUP_C_4" fmlaRange="LU_FLU_RECC_PRICES_GROUP_C" noThreeD="1" sel="1" val="0"/>
</file>

<file path=xl/ctrlProps/ctrlProp63.xml><?xml version="1.0" encoding="utf-8"?>
<formControlPr xmlns="http://schemas.microsoft.com/office/spreadsheetml/2009/9/main" objectType="Drop" dropLines="20" dropStyle="combo" dx="20" fmlaLink="$D$48" fmlaRange="LU_FLU_RECC_PRICES_GROUP_C" noThreeD="1" sel="1" val="0"/>
</file>

<file path=xl/ctrlProps/ctrlProp630.xml><?xml version="1.0" encoding="utf-8"?>
<formControlPr xmlns="http://schemas.microsoft.com/office/spreadsheetml/2009/9/main" objectType="Drop" dropLines="20" dropStyle="combo" dx="16" fmlaLink="DD_FLU_SOCMOB1_GROUP_C_5" fmlaRange="LU_FLU_RECC_PRICES_GROUP_C" noThreeD="1" sel="1" val="0"/>
</file>

<file path=xl/ctrlProps/ctrlProp631.xml><?xml version="1.0" encoding="utf-8"?>
<formControlPr xmlns="http://schemas.microsoft.com/office/spreadsheetml/2009/9/main" objectType="Drop" dropLines="20" dropStyle="combo" dx="16" fmlaLink="DD_FLU_SOCMOB1_GROUP_D_1" fmlaRange="LU_FLU_RECC_PRICES_GROUP_D" noThreeD="1" sel="3" val="0"/>
</file>

<file path=xl/ctrlProps/ctrlProp632.xml><?xml version="1.0" encoding="utf-8"?>
<formControlPr xmlns="http://schemas.microsoft.com/office/spreadsheetml/2009/9/main" objectType="Drop" dropLines="20" dropStyle="combo" dx="16" fmlaLink="DD_FLU_SOCMOB1_GROUP_D_2" fmlaRange="LU_FLU_RECC_PRICES_GROUP_D" noThreeD="1" sel="1" val="0"/>
</file>

<file path=xl/ctrlProps/ctrlProp633.xml><?xml version="1.0" encoding="utf-8"?>
<formControlPr xmlns="http://schemas.microsoft.com/office/spreadsheetml/2009/9/main" objectType="Drop" dropLines="20" dropStyle="combo" dx="16" fmlaLink="DD_FLU_SOCMOB1_GROUP_D_3" fmlaRange="LU_FLU_RECC_PRICES_GROUP_D" noThreeD="1" sel="1" val="0"/>
</file>

<file path=xl/ctrlProps/ctrlProp634.xml><?xml version="1.0" encoding="utf-8"?>
<formControlPr xmlns="http://schemas.microsoft.com/office/spreadsheetml/2009/9/main" objectType="Drop" dropLines="20" dropStyle="combo" dx="16" fmlaLink="DD_FLU_SOCMOB1_GROUP_D_4" fmlaRange="LU_FLU_RECC_PRICES_GROUP_D" noThreeD="1" sel="1" val="0"/>
</file>

<file path=xl/ctrlProps/ctrlProp635.xml><?xml version="1.0" encoding="utf-8"?>
<formControlPr xmlns="http://schemas.microsoft.com/office/spreadsheetml/2009/9/main" objectType="Drop" dropLines="20" dropStyle="combo" dx="16" fmlaLink="DD_FLU_SOCMOB1_GROUP_D_5" fmlaRange="LU_FLU_RECC_PRICES_GROUP_D" noThreeD="1" sel="1" val="0"/>
</file>

<file path=xl/ctrlProps/ctrlProp636.xml><?xml version="1.0" encoding="utf-8"?>
<formControlPr xmlns="http://schemas.microsoft.com/office/spreadsheetml/2009/9/main" objectType="Drop" dropLines="20" dropStyle="combo" dx="16" fmlaLink="DD_FLU_SOCMOB1_GROUP_E_1" fmlaRange="LU_FLU_RECC_PRICES_GROUP_E" noThreeD="1" sel="1" val="0"/>
</file>

<file path=xl/ctrlProps/ctrlProp637.xml><?xml version="1.0" encoding="utf-8"?>
<formControlPr xmlns="http://schemas.microsoft.com/office/spreadsheetml/2009/9/main" objectType="Drop" dropLines="20" dropStyle="combo" dx="16" fmlaLink="DD_FLU_SOCMOB1_GROUP_E_2" fmlaRange="LU_FLU_RECC_PRICES_GROUP_E" noThreeD="1" sel="1" val="0"/>
</file>

<file path=xl/ctrlProps/ctrlProp638.xml><?xml version="1.0" encoding="utf-8"?>
<formControlPr xmlns="http://schemas.microsoft.com/office/spreadsheetml/2009/9/main" objectType="Drop" dropLines="20" dropStyle="combo" dx="16" fmlaLink="DD_FLU_SOCMOB1_GROUP_E_3" fmlaRange="LU_FLU_RECC_PRICES_GROUP_E" noThreeD="1" sel="1" val="0"/>
</file>

<file path=xl/ctrlProps/ctrlProp639.xml><?xml version="1.0" encoding="utf-8"?>
<formControlPr xmlns="http://schemas.microsoft.com/office/spreadsheetml/2009/9/main" objectType="Drop" dropLines="20" dropStyle="combo" dx="16" fmlaLink="DD_FLU_SOCMOB1_GROUP_E_4" fmlaRange="LU_FLU_RECC_PRICES_GROUP_E" noThreeD="1" sel="1" val="0"/>
</file>

<file path=xl/ctrlProps/ctrlProp64.xml><?xml version="1.0" encoding="utf-8"?>
<formControlPr xmlns="http://schemas.microsoft.com/office/spreadsheetml/2009/9/main" objectType="Drop" dropLines="20" dropStyle="combo" dx="20" fmlaLink="$D$49" fmlaRange="LU_FLU_RECC_PRICES_GROUP_C" noThreeD="1" sel="1" val="0"/>
</file>

<file path=xl/ctrlProps/ctrlProp640.xml><?xml version="1.0" encoding="utf-8"?>
<formControlPr xmlns="http://schemas.microsoft.com/office/spreadsheetml/2009/9/main" objectType="Drop" dropLines="20" dropStyle="combo" dx="16" fmlaLink="DD_FLU_SOCMOB1_GROUP_E_5" fmlaRange="LU_FLU_RECC_PRICES_GROUP_E" noThreeD="1" sel="1" val="0"/>
</file>

<file path=xl/ctrlProps/ctrlProp641.xml><?xml version="1.0" encoding="utf-8"?>
<formControlPr xmlns="http://schemas.microsoft.com/office/spreadsheetml/2009/9/main" objectType="Drop" dropLines="20" dropStyle="combo" dx="16" fmlaLink="DD_FLU_SOCMOB1_GROUP_E_6" fmlaRange="LU_FLU_RECC_PRICES_GROUP_E" noThreeD="1" sel="1" val="0"/>
</file>

<file path=xl/ctrlProps/ctrlProp642.xml><?xml version="1.0" encoding="utf-8"?>
<formControlPr xmlns="http://schemas.microsoft.com/office/spreadsheetml/2009/9/main" objectType="Drop" dropLines="20" dropStyle="combo" dx="16" fmlaLink="DD_FLU_SOCMOB1_GROUP_E_7" fmlaRange="LU_FLU_RECC_PRICES_GROUP_E" noThreeD="1" sel="1" val="0"/>
</file>

<file path=xl/ctrlProps/ctrlProp643.xml><?xml version="1.0" encoding="utf-8"?>
<formControlPr xmlns="http://schemas.microsoft.com/office/spreadsheetml/2009/9/main" objectType="Drop" dropLines="20" dropStyle="combo" dx="16" fmlaLink="DD_FLU_SOCMOB1_GROUP_E_8" fmlaRange="LU_FLU_RECC_PRICES_GROUP_E" noThreeD="1" sel="1" val="0"/>
</file>

<file path=xl/ctrlProps/ctrlProp644.xml><?xml version="1.0" encoding="utf-8"?>
<formControlPr xmlns="http://schemas.microsoft.com/office/spreadsheetml/2009/9/main" objectType="Drop" dropLines="20" dropStyle="combo" dx="16" fmlaLink="DD_FLU_SOCMOB1_GROUP_E_9" fmlaRange="LU_FLU_RECC_PRICES_GROUP_E" noThreeD="1" sel="1" val="0"/>
</file>

<file path=xl/ctrlProps/ctrlProp645.xml><?xml version="1.0" encoding="utf-8"?>
<formControlPr xmlns="http://schemas.microsoft.com/office/spreadsheetml/2009/9/main" objectType="Drop" dropLines="20" dropStyle="combo" dx="16" fmlaLink="DD_FLU_SOCMOB_2_GROUP_C_1" fmlaRange="LU_FLU_RECC_PRICES_GROUP_C" noThreeD="1" sel="2" val="0"/>
</file>

<file path=xl/ctrlProps/ctrlProp646.xml><?xml version="1.0" encoding="utf-8"?>
<formControlPr xmlns="http://schemas.microsoft.com/office/spreadsheetml/2009/9/main" objectType="Drop" dropLines="20" dropStyle="combo" dx="16" fmlaLink="DD_FLU_SOCMOB_2_GROUP_C_2" fmlaRange="LU_FLU_RECC_PRICES_GROUP_C" noThreeD="1" sel="5" val="0"/>
</file>

<file path=xl/ctrlProps/ctrlProp647.xml><?xml version="1.0" encoding="utf-8"?>
<formControlPr xmlns="http://schemas.microsoft.com/office/spreadsheetml/2009/9/main" objectType="Drop" dropLines="20" dropStyle="combo" dx="16" fmlaLink="DD_FLU_SOCMOB_2_GROUP_C_3" fmlaRange="LU_FLU_RECC_PRICES_GROUP_C" noThreeD="1" sel="7" val="0"/>
</file>

<file path=xl/ctrlProps/ctrlProp648.xml><?xml version="1.0" encoding="utf-8"?>
<formControlPr xmlns="http://schemas.microsoft.com/office/spreadsheetml/2009/9/main" objectType="Drop" dropLines="20" dropStyle="combo" dx="16" fmlaLink="DD_FLU_SOCMOB_2_GROUP_C_4" fmlaRange="LU_FLU_RECC_PRICES_GROUP_C" noThreeD="1" sel="1" val="0"/>
</file>

<file path=xl/ctrlProps/ctrlProp649.xml><?xml version="1.0" encoding="utf-8"?>
<formControlPr xmlns="http://schemas.microsoft.com/office/spreadsheetml/2009/9/main" objectType="Drop" dropLines="20" dropStyle="combo" dx="16" fmlaLink="DD_FLU_SOCMOB_2_GROUP_C_5" fmlaRange="LU_FLU_RECC_PRICES_GROUP_C" noThreeD="1" sel="1" val="0"/>
</file>

<file path=xl/ctrlProps/ctrlProp65.xml><?xml version="1.0" encoding="utf-8"?>
<formControlPr xmlns="http://schemas.microsoft.com/office/spreadsheetml/2009/9/main" objectType="Drop" dropLines="20" dropStyle="combo" dx="20" fmlaLink="$D$50" fmlaRange="LU_FLU_RECC_PRICES_GROUP_C" noThreeD="1" sel="1" val="0"/>
</file>

<file path=xl/ctrlProps/ctrlProp650.xml><?xml version="1.0" encoding="utf-8"?>
<formControlPr xmlns="http://schemas.microsoft.com/office/spreadsheetml/2009/9/main" objectType="Drop" dropLines="20" dropStyle="combo" dx="16" fmlaLink="DD_FLU_SOCMOB_2_GROUP_C_6" fmlaRange="LU_FLU_RECC_PRICES_GROUP_C" noThreeD="1" sel="1" val="0"/>
</file>

<file path=xl/ctrlProps/ctrlProp651.xml><?xml version="1.0" encoding="utf-8"?>
<formControlPr xmlns="http://schemas.microsoft.com/office/spreadsheetml/2009/9/main" objectType="Drop" dropLines="20" dropStyle="combo" dx="16" fmlaLink="DD_FLU_SOCMOB_2_GROUP_D_1" fmlaRange="LU_FLU_RECC_PRICES_GROUP_D" noThreeD="1" sel="3" val="0"/>
</file>

<file path=xl/ctrlProps/ctrlProp652.xml><?xml version="1.0" encoding="utf-8"?>
<formControlPr xmlns="http://schemas.microsoft.com/office/spreadsheetml/2009/9/main" objectType="Drop" dropLines="20" dropStyle="combo" dx="16" fmlaLink="DD_FLU_SOCMOB_2_GROUP_D_2" fmlaRange="LU_FLU_RECC_PRICES_GROUP_D" noThreeD="1" sel="1" val="0"/>
</file>

<file path=xl/ctrlProps/ctrlProp653.xml><?xml version="1.0" encoding="utf-8"?>
<formControlPr xmlns="http://schemas.microsoft.com/office/spreadsheetml/2009/9/main" objectType="Drop" dropLines="20" dropStyle="combo" dx="16" fmlaLink="DD_FLU_SOCMOB_2_GROUP_D_3" fmlaRange="LU_FLU_RECC_PRICES_GROUP_D" noThreeD="1" sel="1" val="0"/>
</file>

<file path=xl/ctrlProps/ctrlProp654.xml><?xml version="1.0" encoding="utf-8"?>
<formControlPr xmlns="http://schemas.microsoft.com/office/spreadsheetml/2009/9/main" objectType="Drop" dropLines="20" dropStyle="combo" dx="16" fmlaLink="DD_FLU_SOCMOB_2_GROUP_D_4" fmlaRange="LU_FLU_RECC_PRICES_GROUP_D" noThreeD="1" sel="1" val="0"/>
</file>

<file path=xl/ctrlProps/ctrlProp655.xml><?xml version="1.0" encoding="utf-8"?>
<formControlPr xmlns="http://schemas.microsoft.com/office/spreadsheetml/2009/9/main" objectType="Drop" dropLines="20" dropStyle="combo" dx="16" fmlaLink="DD_FLU_SOCMOB_2_GROUP_D_5" fmlaRange="LU_FLU_RECC_PRICES_GROUP_D" noThreeD="1" sel="1" val="0"/>
</file>

<file path=xl/ctrlProps/ctrlProp656.xml><?xml version="1.0" encoding="utf-8"?>
<formControlPr xmlns="http://schemas.microsoft.com/office/spreadsheetml/2009/9/main" objectType="Drop" dropLines="20" dropStyle="combo" dx="16" fmlaLink="DD_FLU_SOCMOB_2_GROUP_D_6" fmlaRange="LU_FLU_RECC_PRICES_GROUP_D" noThreeD="1" sel="1" val="0"/>
</file>

<file path=xl/ctrlProps/ctrlProp657.xml><?xml version="1.0" encoding="utf-8"?>
<formControlPr xmlns="http://schemas.microsoft.com/office/spreadsheetml/2009/9/main" objectType="Drop" dropLines="20" dropStyle="combo" dx="16" fmlaLink="DD_FLU_SOCMOB_2_GROUP_E_1" fmlaRange="LU_FLU_RECC_PRICES_GROUP_E" noThreeD="1" sel="1" val="0"/>
</file>

<file path=xl/ctrlProps/ctrlProp658.xml><?xml version="1.0" encoding="utf-8"?>
<formControlPr xmlns="http://schemas.microsoft.com/office/spreadsheetml/2009/9/main" objectType="Drop" dropLines="20" dropStyle="combo" dx="16" fmlaLink="DD_FLU_SOCMOB_2_GROUP_E_2" fmlaRange="LU_FLU_RECC_PRICES_GROUP_E" noThreeD="1" sel="1" val="0"/>
</file>

<file path=xl/ctrlProps/ctrlProp659.xml><?xml version="1.0" encoding="utf-8"?>
<formControlPr xmlns="http://schemas.microsoft.com/office/spreadsheetml/2009/9/main" objectType="Drop" dropLines="20" dropStyle="combo" dx="16" fmlaLink="DD_FLU_SOCMOB_2_GROUP_E_3" fmlaRange="LU_FLU_RECC_PRICES_GROUP_E" noThreeD="1" sel="1" val="0"/>
</file>

<file path=xl/ctrlProps/ctrlProp66.xml><?xml version="1.0" encoding="utf-8"?>
<formControlPr xmlns="http://schemas.microsoft.com/office/spreadsheetml/2009/9/main" objectType="Drop" dropLines="20" dropStyle="combo" dx="20" fmlaLink="$D$75" fmlaRange="LU_FLU_RECC_PRICES_GROUP_E" noThreeD="1" sel="2" val="0"/>
</file>

<file path=xl/ctrlProps/ctrlProp660.xml><?xml version="1.0" encoding="utf-8"?>
<formControlPr xmlns="http://schemas.microsoft.com/office/spreadsheetml/2009/9/main" objectType="Drop" dropLines="20" dropStyle="combo" dx="16" fmlaLink="DD_FLU_SOCMOB_2_GROUP_E_4" fmlaRange="LU_FLU_RECC_PRICES_GROUP_E" noThreeD="1" sel="1" val="0"/>
</file>

<file path=xl/ctrlProps/ctrlProp661.xml><?xml version="1.0" encoding="utf-8"?>
<formControlPr xmlns="http://schemas.microsoft.com/office/spreadsheetml/2009/9/main" objectType="Drop" dropLines="20" dropStyle="combo" dx="16" fmlaLink="DD_FLU_SOCMOB_2_GROUP_E_5" fmlaRange="LU_FLU_RECC_PRICES_GROUP_E" noThreeD="1" sel="1" val="0"/>
</file>

<file path=xl/ctrlProps/ctrlProp662.xml><?xml version="1.0" encoding="utf-8"?>
<formControlPr xmlns="http://schemas.microsoft.com/office/spreadsheetml/2009/9/main" objectType="Drop" dropLines="20" dropStyle="combo" dx="16" fmlaLink="DD_FLU_SOCMOB_2_GROUP_E_6" fmlaRange="LU_FLU_RECC_PRICES_GROUP_E" noThreeD="1" sel="1" val="0"/>
</file>

<file path=xl/ctrlProps/ctrlProp663.xml><?xml version="1.0" encoding="utf-8"?>
<formControlPr xmlns="http://schemas.microsoft.com/office/spreadsheetml/2009/9/main" objectType="Drop" dropLines="20" dropStyle="combo" dx="16" fmlaLink="DD_FLU_SOCMOB_2_GROUP_E_7" fmlaRange="LU_FLU_RECC_PRICES_GROUP_E" noThreeD="1" sel="1" val="0"/>
</file>

<file path=xl/ctrlProps/ctrlProp664.xml><?xml version="1.0" encoding="utf-8"?>
<formControlPr xmlns="http://schemas.microsoft.com/office/spreadsheetml/2009/9/main" objectType="Drop" dropLines="20" dropStyle="combo" dx="16" fmlaLink="DD_FLU_SOCMOB_C_GROUP_C_1" fmlaRange="LU_FLU_RECC_PRICES_GROUP_C" noThreeD="1" sel="2" val="0"/>
</file>

<file path=xl/ctrlProps/ctrlProp665.xml><?xml version="1.0" encoding="utf-8"?>
<formControlPr xmlns="http://schemas.microsoft.com/office/spreadsheetml/2009/9/main" objectType="Drop" dropLines="20" dropStyle="combo" dx="16" fmlaLink="DD_FLU_SOCMOB_C_GROUP_C_2" fmlaRange="LU_FLU_RECC_PRICES_GROUP_C" noThreeD="1" sel="1" val="0"/>
</file>

<file path=xl/ctrlProps/ctrlProp666.xml><?xml version="1.0" encoding="utf-8"?>
<formControlPr xmlns="http://schemas.microsoft.com/office/spreadsheetml/2009/9/main" objectType="Drop" dropLines="20" dropStyle="combo" dx="16" fmlaLink="DD_FLU_SOCMOB_C_GROUP_C_3" fmlaRange="LU_FLU_RECC_PRICES_GROUP_C" noThreeD="1" sel="1" val="0"/>
</file>

<file path=xl/ctrlProps/ctrlProp667.xml><?xml version="1.0" encoding="utf-8"?>
<formControlPr xmlns="http://schemas.microsoft.com/office/spreadsheetml/2009/9/main" objectType="Drop" dropLines="20" dropStyle="combo" dx="16" fmlaLink="DD_FLU_SOCMOB_C_GROUP_C_4" fmlaRange="LU_FLU_RECC_PRICES_GROUP_C" noThreeD="1" sel="1" val="0"/>
</file>

<file path=xl/ctrlProps/ctrlProp668.xml><?xml version="1.0" encoding="utf-8"?>
<formControlPr xmlns="http://schemas.microsoft.com/office/spreadsheetml/2009/9/main" objectType="Drop" dropLines="20" dropStyle="combo" dx="16" fmlaLink="DD_FLU_SOCMOB_C_GROUP_C_5" fmlaRange="LU_FLU_RECC_PRICES_GROUP_C" noThreeD="1" sel="1" val="0"/>
</file>

<file path=xl/ctrlProps/ctrlProp669.xml><?xml version="1.0" encoding="utf-8"?>
<formControlPr xmlns="http://schemas.microsoft.com/office/spreadsheetml/2009/9/main" objectType="Drop" dropLines="20" dropStyle="combo" dx="16" fmlaLink="DD_FLU_SOCMOB_C_GROUP_C_6" fmlaRange="LU_FLU_RECC_PRICES_GROUP_C" noThreeD="1" sel="1" val="0"/>
</file>

<file path=xl/ctrlProps/ctrlProp67.xml><?xml version="1.0" encoding="utf-8"?>
<formControlPr xmlns="http://schemas.microsoft.com/office/spreadsheetml/2009/9/main" objectType="Drop" dropLines="20" dropStyle="combo" dx="20" fmlaLink="$D$76" fmlaRange="LU_FLU_RECC_PRICES_GROUP_E" noThreeD="1" sel="1" val="0"/>
</file>

<file path=xl/ctrlProps/ctrlProp670.xml><?xml version="1.0" encoding="utf-8"?>
<formControlPr xmlns="http://schemas.microsoft.com/office/spreadsheetml/2009/9/main" objectType="Drop" dropLines="20" dropStyle="combo" dx="16" fmlaLink="DD_FLU_SOCMOB_C_GROUP_D_1" fmlaRange="LU_FLU_RECC_PRICES_GROUP_D" noThreeD="1" sel="3" val="0"/>
</file>

<file path=xl/ctrlProps/ctrlProp671.xml><?xml version="1.0" encoding="utf-8"?>
<formControlPr xmlns="http://schemas.microsoft.com/office/spreadsheetml/2009/9/main" objectType="Drop" dropLines="20" dropStyle="combo" dx="16" fmlaLink="DD_FLU_SOCMOB_C_GROUP_D_2" fmlaRange="LU_FLU_RECC_PRICES_GROUP_D" noThreeD="1" sel="1" val="0"/>
</file>

<file path=xl/ctrlProps/ctrlProp672.xml><?xml version="1.0" encoding="utf-8"?>
<formControlPr xmlns="http://schemas.microsoft.com/office/spreadsheetml/2009/9/main" objectType="Drop" dropLines="20" dropStyle="combo" dx="16" fmlaLink="DD_FLU_SOCMOB_C_GROUP_D_3" fmlaRange="LU_FLU_RECC_PRICES_GROUP_D" noThreeD="1" sel="1" val="0"/>
</file>

<file path=xl/ctrlProps/ctrlProp673.xml><?xml version="1.0" encoding="utf-8"?>
<formControlPr xmlns="http://schemas.microsoft.com/office/spreadsheetml/2009/9/main" objectType="Drop" dropLines="20" dropStyle="combo" dx="16" fmlaLink="DD_FLU_SOCMOB_C_GROUP_D_4" fmlaRange="LU_FLU_RECC_PRICES_GROUP_D" noThreeD="1" sel="1" val="0"/>
</file>

<file path=xl/ctrlProps/ctrlProp674.xml><?xml version="1.0" encoding="utf-8"?>
<formControlPr xmlns="http://schemas.microsoft.com/office/spreadsheetml/2009/9/main" objectType="Drop" dropLines="20" dropStyle="combo" dx="16" fmlaLink="DD_FLU_SOCMOB_C_GROUP_D_5" fmlaRange="LU_FLU_RECC_PRICES_GROUP_D" noThreeD="1" sel="1" val="0"/>
</file>

<file path=xl/ctrlProps/ctrlProp675.xml><?xml version="1.0" encoding="utf-8"?>
<formControlPr xmlns="http://schemas.microsoft.com/office/spreadsheetml/2009/9/main" objectType="Drop" dropLines="20" dropStyle="combo" dx="16" fmlaLink="DD_FLU_SOCMOB_C_GROUP_D_6" fmlaRange="LU_FLU_RECC_PRICES_GROUP_D" noThreeD="1" sel="1" val="0"/>
</file>

<file path=xl/ctrlProps/ctrlProp676.xml><?xml version="1.0" encoding="utf-8"?>
<formControlPr xmlns="http://schemas.microsoft.com/office/spreadsheetml/2009/9/main" objectType="Drop" dropLines="20" dropStyle="combo" dx="16" fmlaLink="DD_FLU_SOCMOB_C_GROUP_E_1" fmlaRange="LU_FLU_RECC_PRICES_GROUP_E" noThreeD="1" sel="2" val="0"/>
</file>

<file path=xl/ctrlProps/ctrlProp677.xml><?xml version="1.0" encoding="utf-8"?>
<formControlPr xmlns="http://schemas.microsoft.com/office/spreadsheetml/2009/9/main" objectType="Drop" dropLines="20" dropStyle="combo" dx="16" fmlaLink="DD_FLU_SOCMOB_C_GROUP_E_2" fmlaRange="LU_FLU_RECC_PRICES_GROUP_E" noThreeD="1" sel="1" val="0"/>
</file>

<file path=xl/ctrlProps/ctrlProp678.xml><?xml version="1.0" encoding="utf-8"?>
<formControlPr xmlns="http://schemas.microsoft.com/office/spreadsheetml/2009/9/main" objectType="Drop" dropLines="20" dropStyle="combo" dx="16" fmlaLink="DD_FLU_SOCMOB_C_GROUP_E_3" fmlaRange="LU_FLU_RECC_PRICES_GROUP_E" noThreeD="1" sel="1" val="0"/>
</file>

<file path=xl/ctrlProps/ctrlProp679.xml><?xml version="1.0" encoding="utf-8"?>
<formControlPr xmlns="http://schemas.microsoft.com/office/spreadsheetml/2009/9/main" objectType="Drop" dropLines="20" dropStyle="combo" dx="16" fmlaLink="DD_FLU_SOCMOB_C_GROUP_E_4" fmlaRange="LU_FLU_RECC_PRICES_GROUP_E" noThreeD="1" sel="1" val="0"/>
</file>

<file path=xl/ctrlProps/ctrlProp68.xml><?xml version="1.0" encoding="utf-8"?>
<formControlPr xmlns="http://schemas.microsoft.com/office/spreadsheetml/2009/9/main" objectType="Drop" dropLines="20" dropStyle="combo" dx="20" fmlaLink="$D$77" fmlaRange="LU_FLU_RECC_PRICES_GROUP_E" noThreeD="1" sel="1" val="0"/>
</file>

<file path=xl/ctrlProps/ctrlProp680.xml><?xml version="1.0" encoding="utf-8"?>
<formControlPr xmlns="http://schemas.microsoft.com/office/spreadsheetml/2009/9/main" objectType="Drop" dropLines="20" dropStyle="combo" dx="16" fmlaLink="DD_FLU_SOCMOB_C_GROUP_E_5" fmlaRange="LU_FLU_RECC_PRICES_GROUP_E" noThreeD="1" sel="1" val="0"/>
</file>

<file path=xl/ctrlProps/ctrlProp681.xml><?xml version="1.0" encoding="utf-8"?>
<formControlPr xmlns="http://schemas.microsoft.com/office/spreadsheetml/2009/9/main" objectType="Drop" dropLines="20" dropStyle="combo" dx="16" fmlaLink="DD_FLU_SOCMOB_C_GROUP_E_6" fmlaRange="LU_FLU_RECC_PRICES_GROUP_E" noThreeD="1" sel="1" val="0"/>
</file>

<file path=xl/ctrlProps/ctrlProp682.xml><?xml version="1.0" encoding="utf-8"?>
<formControlPr xmlns="http://schemas.microsoft.com/office/spreadsheetml/2009/9/main" objectType="Drop" dropLines="20" dropStyle="combo" dx="16" fmlaLink="DD_FLU_SOCMOB_C_GROUP_E_7" fmlaRange="LU_FLU_RECC_PRICES_GROUP_E" noThreeD="1" sel="1" val="0"/>
</file>

<file path=xl/ctrlProps/ctrlProp683.xml><?xml version="1.0" encoding="utf-8"?>
<formControlPr xmlns="http://schemas.microsoft.com/office/spreadsheetml/2009/9/main" objectType="Drop" dropLines="20" dropStyle="combo" dx="20" fmlaLink="DD_FLU_SOCMOB_2_GROUP_D_7" fmlaRange="LU_FLU_RECC_PRICES_GROUP_D" noThreeD="1" sel="1" val="0"/>
</file>

<file path=xl/ctrlProps/ctrlProp684.xml><?xml version="1.0" encoding="utf-8"?>
<formControlPr xmlns="http://schemas.microsoft.com/office/spreadsheetml/2009/9/main" objectType="Drop" dropLines="20" dropStyle="combo" dx="20" fmlaLink="DD_FLU_SOCMOB_C_GROUP_D_7" fmlaRange="LU_FLU_RECC_PRICES_GROUP_D" noThreeD="1" sel="1" val="0"/>
</file>

<file path=xl/ctrlProps/ctrlProp685.xml><?xml version="1.0" encoding="utf-8"?>
<formControlPr xmlns="http://schemas.microsoft.com/office/spreadsheetml/2009/9/main" objectType="Drop" dropLines="20" dropStyle="combo" dx="20" fmlaLink="DD_FLU_SOCMOB_2_GROUP_D_8" fmlaRange="LU_FLU_RECC_PRICES_GROUP_D" noThreeD="1" sel="1" val="0"/>
</file>

<file path=xl/ctrlProps/ctrlProp686.xml><?xml version="1.0" encoding="utf-8"?>
<formControlPr xmlns="http://schemas.microsoft.com/office/spreadsheetml/2009/9/main" objectType="Drop" dropLines="20" dropStyle="combo" dx="20" fmlaLink="DD_FLU_SOCMOB_2_GROUP_D_9" fmlaRange="LU_FLU_RECC_PRICES_GROUP_D" noThreeD="1" sel="1" val="0"/>
</file>

<file path=xl/ctrlProps/ctrlProp687.xml><?xml version="1.0" encoding="utf-8"?>
<formControlPr xmlns="http://schemas.microsoft.com/office/spreadsheetml/2009/9/main" objectType="Drop" dropLines="20" dropStyle="combo" dx="20" fmlaLink="DD_FLU_SOCMOB_2_GROUP_D_10" fmlaRange="LU_FLU_RECC_PRICES_GROUP_D" noThreeD="1" sel="1" val="0"/>
</file>

<file path=xl/ctrlProps/ctrlProp688.xml><?xml version="1.0" encoding="utf-8"?>
<formControlPr xmlns="http://schemas.microsoft.com/office/spreadsheetml/2009/9/main" objectType="Drop" dropLines="20" dropStyle="combo" dx="20" fmlaLink="DD_FLU_SOCMOB_C_GROUP_D_8" fmlaRange="LU_FLU_RECC_PRICES_GROUP_D" noThreeD="1" sel="1" val="0"/>
</file>

<file path=xl/ctrlProps/ctrlProp689.xml><?xml version="1.0" encoding="utf-8"?>
<formControlPr xmlns="http://schemas.microsoft.com/office/spreadsheetml/2009/9/main" objectType="Drop" dropLines="20" dropStyle="combo" dx="20" fmlaLink="DD_FLU_SOCMOB_C_GROUP_D_9" fmlaRange="LU_FLU_RECC_PRICES_GROUP_D" noThreeD="1" sel="1" val="0"/>
</file>

<file path=xl/ctrlProps/ctrlProp69.xml><?xml version="1.0" encoding="utf-8"?>
<formControlPr xmlns="http://schemas.microsoft.com/office/spreadsheetml/2009/9/main" objectType="Drop" dropLines="20" dropStyle="combo" dx="20" fmlaLink="$D$78" fmlaRange="LU_FLU_RECC_PRICES_GROUP_E" noThreeD="1" sel="1" val="0"/>
</file>

<file path=xl/ctrlProps/ctrlProp690.xml><?xml version="1.0" encoding="utf-8"?>
<formControlPr xmlns="http://schemas.microsoft.com/office/spreadsheetml/2009/9/main" objectType="Drop" dropLines="20" dropStyle="combo" dx="20" fmlaLink="DD_FLU_SOCMOB_C_GROUP_D_10" fmlaRange="LU_FLU_RECC_PRICES_GROUP_D" noThreeD="1" sel="1" val="0"/>
</file>

<file path=xl/ctrlProps/ctrlProp691.xml><?xml version="1.0" encoding="utf-8"?>
<formControlPr xmlns="http://schemas.microsoft.com/office/spreadsheetml/2009/9/main" objectType="Drop" dropLines="20" dropStyle="combo" dx="20" fmlaLink="DD_FLU_SOCMOB1_GROUP_D_6" fmlaRange="LU_FLU_RECC_PRICES_GROUP_D" noThreeD="1" sel="1" val="0"/>
</file>

<file path=xl/ctrlProps/ctrlProp692.xml><?xml version="1.0" encoding="utf-8"?>
<formControlPr xmlns="http://schemas.microsoft.com/office/spreadsheetml/2009/9/main" objectType="Drop" dropLines="20" dropStyle="combo" dx="20" fmlaLink="DD_FLU_SOCMOB1_GROUP_D_7" fmlaRange="LU_FLU_RECC_PRICES_GROUP_D" noThreeD="1" sel="1" val="0"/>
</file>

<file path=xl/ctrlProps/ctrlProp693.xml><?xml version="1.0" encoding="utf-8"?>
<formControlPr xmlns="http://schemas.microsoft.com/office/spreadsheetml/2009/9/main" objectType="Drop" dropLines="20" dropStyle="combo" dx="20" fmlaLink="DD_FLU_SOCMOB1_GROUP_D_8" fmlaRange="LU_FLU_RECC_PRICES_GROUP_D" noThreeD="1" sel="1" val="0"/>
</file>

<file path=xl/ctrlProps/ctrlProp694.xml><?xml version="1.0" encoding="utf-8"?>
<formControlPr xmlns="http://schemas.microsoft.com/office/spreadsheetml/2009/9/main" objectType="Drop" dropLines="20" dropStyle="combo" dx="20" fmlaLink="DD_FLU_SOCMOB1_GROUP_D_9" fmlaRange="LU_FLU_RECC_PRICES_GROUP_D" noThreeD="1" sel="1" val="0"/>
</file>

<file path=xl/ctrlProps/ctrlProp695.xml><?xml version="1.0" encoding="utf-8"?>
<formControlPr xmlns="http://schemas.microsoft.com/office/spreadsheetml/2009/9/main" objectType="Drop" dropLines="20" dropStyle="combo" dx="20" fmlaLink="DD_FLU_SOCMOB1_GROUP_D_10" fmlaRange="LU_FLU_RECC_PRICES_GROUP_D" noThreeD="1" sel="1" val="0"/>
</file>

<file path=xl/ctrlProps/ctrlProp696.xml><?xml version="1.0" encoding="utf-8"?>
<formControlPr xmlns="http://schemas.microsoft.com/office/spreadsheetml/2009/9/main" objectType="Drop" dropLines="20" dropStyle="combo" dx="16" fmlaLink="$I$131" fmlaRange="LU_FLU_Personnel_Unit_Cost_Categories" noThreeD="1" sel="1" val="0"/>
</file>

<file path=xl/ctrlProps/ctrlProp697.xml><?xml version="1.0" encoding="utf-8"?>
<formControlPr xmlns="http://schemas.microsoft.com/office/spreadsheetml/2009/9/main" objectType="Drop" dropLines="20" dropStyle="combo" dx="16" fmlaLink="$I$132" fmlaRange="LU_FLU_Personnel_Unit_Cost_Categories" noThreeD="1" sel="1" val="0"/>
</file>

<file path=xl/ctrlProps/ctrlProp698.xml><?xml version="1.0" encoding="utf-8"?>
<formControlPr xmlns="http://schemas.microsoft.com/office/spreadsheetml/2009/9/main" objectType="Drop" dropLines="20" dropStyle="combo" dx="16" fmlaLink="$I$133" fmlaRange="LU_FLU_Personnel_Unit_Cost_Categories" noThreeD="1" sel="1" val="0"/>
</file>

<file path=xl/ctrlProps/ctrlProp699.xml><?xml version="1.0" encoding="utf-8"?>
<formControlPr xmlns="http://schemas.microsoft.com/office/spreadsheetml/2009/9/main" objectType="Drop" dropLines="20" dropStyle="combo" dx="16" fmlaLink="$I$134" fmlaRange="LU_FLU_Personnel_Unit_Cost_Categories" noThreeD="1" sel="1" val="0"/>
</file>

<file path=xl/ctrlProps/ctrlProp7.xml><?xml version="1.0" encoding="utf-8"?>
<formControlPr xmlns="http://schemas.microsoft.com/office/spreadsheetml/2009/9/main" objectType="Drop" dropLines="20" dropStyle="combo" dx="20" fmlaLink="DD_FLU_MICRO_1" fmlaRange="LU_FLU_Curr_Code" noThreeD="1" sel="2" val="0"/>
</file>

<file path=xl/ctrlProps/ctrlProp70.xml><?xml version="1.0" encoding="utf-8"?>
<formControlPr xmlns="http://schemas.microsoft.com/office/spreadsheetml/2009/9/main" objectType="Drop" dropLines="20" dropStyle="combo" dx="20" fmlaLink="$D$79" fmlaRange="LU_FLU_RECC_PRICES_GROUP_E" noThreeD="1" sel="1" val="0"/>
</file>

<file path=xl/ctrlProps/ctrlProp700.xml><?xml version="1.0" encoding="utf-8"?>
<formControlPr xmlns="http://schemas.microsoft.com/office/spreadsheetml/2009/9/main" objectType="Drop" dropLines="20" dropStyle="combo" dx="16" fmlaLink="$I$135" fmlaRange="LU_FLU_Personnel_Unit_Cost_Categories" noThreeD="1" sel="1" val="0"/>
</file>

<file path=xl/ctrlProps/ctrlProp701.xml><?xml version="1.0" encoding="utf-8"?>
<formControlPr xmlns="http://schemas.microsoft.com/office/spreadsheetml/2009/9/main" objectType="Drop" dropLines="20" dropStyle="combo" dx="16" fmlaLink="$I$136" fmlaRange="LU_FLU_Personnel_Unit_Cost_Categories" noThreeD="1" sel="1" val="0"/>
</file>

<file path=xl/ctrlProps/ctrlProp702.xml><?xml version="1.0" encoding="utf-8"?>
<formControlPr xmlns="http://schemas.microsoft.com/office/spreadsheetml/2009/9/main" objectType="Drop" dropLines="20" dropStyle="combo" dx="16" fmlaLink="$I$78" fmlaRange="LU_FLU_Personnel_Unit_Cost_Categories" noThreeD="1" sel="1" val="0"/>
</file>

<file path=xl/ctrlProps/ctrlProp703.xml><?xml version="1.0" encoding="utf-8"?>
<formControlPr xmlns="http://schemas.microsoft.com/office/spreadsheetml/2009/9/main" objectType="Drop" dropLines="20" dropStyle="combo" dx="16" fmlaLink="$I$79" fmlaRange="LU_FLU_Personnel_Unit_Cost_Categories" noThreeD="1" sel="1" val="0"/>
</file>

<file path=xl/ctrlProps/ctrlProp704.xml><?xml version="1.0" encoding="utf-8"?>
<formControlPr xmlns="http://schemas.microsoft.com/office/spreadsheetml/2009/9/main" objectType="Drop" dropLines="20" dropStyle="combo" dx="16" fmlaLink="$I$80" fmlaRange="LU_FLU_Personnel_Unit_Cost_Categories" noThreeD="1" sel="1" val="0"/>
</file>

<file path=xl/ctrlProps/ctrlProp705.xml><?xml version="1.0" encoding="utf-8"?>
<formControlPr xmlns="http://schemas.microsoft.com/office/spreadsheetml/2009/9/main" objectType="Drop" dropLines="20" dropStyle="combo" dx="16" fmlaLink="$I$81" fmlaRange="LU_FLU_Personnel_Unit_Cost_Categories" noThreeD="1" sel="1" val="0"/>
</file>

<file path=xl/ctrlProps/ctrlProp706.xml><?xml version="1.0" encoding="utf-8"?>
<formControlPr xmlns="http://schemas.microsoft.com/office/spreadsheetml/2009/9/main" objectType="Drop" dropLines="20" dropStyle="combo" dx="16" fmlaLink="$I$82" fmlaRange="LU_FLU_Personnel_Unit_Cost_Categories" noThreeD="1" sel="1" val="0"/>
</file>

<file path=xl/ctrlProps/ctrlProp707.xml><?xml version="1.0" encoding="utf-8"?>
<formControlPr xmlns="http://schemas.microsoft.com/office/spreadsheetml/2009/9/main" objectType="Drop" dropLines="20" dropStyle="combo" dx="16" fmlaLink="$I$83" fmlaRange="LU_FLU_Personnel_Unit_Cost_Categories" noThreeD="1" sel="1" val="0"/>
</file>

<file path=xl/ctrlProps/ctrlProp708.xml><?xml version="1.0" encoding="utf-8"?>
<formControlPr xmlns="http://schemas.microsoft.com/office/spreadsheetml/2009/9/main" objectType="Drop" dropLines="20" dropStyle="combo" dx="16" fmlaLink="$I$16" fmlaRange="LU_FLU_Personnel_Unit_Cost_Categories" noThreeD="1" sel="1" val="0"/>
</file>

<file path=xl/ctrlProps/ctrlProp709.xml><?xml version="1.0" encoding="utf-8"?>
<formControlPr xmlns="http://schemas.microsoft.com/office/spreadsheetml/2009/9/main" objectType="Drop" dropLines="20" dropStyle="combo" dx="16" fmlaLink="$I$17" fmlaRange="LU_FLU_Personnel_Unit_Cost_Categories" noThreeD="1" sel="1" val="0"/>
</file>

<file path=xl/ctrlProps/ctrlProp71.xml><?xml version="1.0" encoding="utf-8"?>
<formControlPr xmlns="http://schemas.microsoft.com/office/spreadsheetml/2009/9/main" objectType="Drop" dropLines="20" dropStyle="combo" dx="20" fmlaLink="$D$80" fmlaRange="LU_FLU_RECC_PRICES_GROUP_E" noThreeD="1" sel="1" val="0"/>
</file>

<file path=xl/ctrlProps/ctrlProp710.xml><?xml version="1.0" encoding="utf-8"?>
<formControlPr xmlns="http://schemas.microsoft.com/office/spreadsheetml/2009/9/main" objectType="Drop" dropLines="20" dropStyle="combo" dx="16" fmlaLink="$I$18" fmlaRange="LU_FLU_Personnel_Unit_Cost_Categories" noThreeD="1" sel="1" val="0"/>
</file>

<file path=xl/ctrlProps/ctrlProp711.xml><?xml version="1.0" encoding="utf-8"?>
<formControlPr xmlns="http://schemas.microsoft.com/office/spreadsheetml/2009/9/main" objectType="Drop" dropLines="20" dropStyle="combo" dx="16" fmlaLink="$I$19" fmlaRange="LU_FLU_Personnel_Unit_Cost_Categories" noThreeD="1" sel="1" val="0"/>
</file>

<file path=xl/ctrlProps/ctrlProp712.xml><?xml version="1.0" encoding="utf-8"?>
<formControlPr xmlns="http://schemas.microsoft.com/office/spreadsheetml/2009/9/main" objectType="Drop" dropLines="20" dropStyle="combo" dx="16" fmlaLink="$I$20" fmlaRange="LU_FLU_Personnel_Unit_Cost_Categories" noThreeD="1" sel="1" val="0"/>
</file>

<file path=xl/ctrlProps/ctrlProp713.xml><?xml version="1.0" encoding="utf-8"?>
<formControlPr xmlns="http://schemas.microsoft.com/office/spreadsheetml/2009/9/main" objectType="Drop" dropLines="20" dropStyle="combo" dx="16" fmlaLink="$I$21" fmlaRange="LU_FLU_Personnel_Unit_Cost_Categories" noThreeD="1" sel="1" val="0"/>
</file>

<file path=xl/ctrlProps/ctrlProp714.xml><?xml version="1.0" encoding="utf-8"?>
<formControlPr xmlns="http://schemas.microsoft.com/office/spreadsheetml/2009/9/main" objectType="Drop" dropLines="20" dropStyle="combo" dx="16" fmlaLink="$I$22" fmlaRange="LU_FLU_Personnel_Unit_Cost_Categories" noThreeD="1" sel="1" val="0"/>
</file>

<file path=xl/ctrlProps/ctrlProp715.xml><?xml version="1.0" encoding="utf-8"?>
<formControlPr xmlns="http://schemas.microsoft.com/office/spreadsheetml/2009/9/main" objectType="Drop" dropLines="20" dropStyle="combo" dx="16" fmlaLink="$I$23" fmlaRange="LU_FLU_Personnel_Unit_Cost_Categories" noThreeD="1" sel="1" val="0"/>
</file>

<file path=xl/ctrlProps/ctrlProp716.xml><?xml version="1.0" encoding="utf-8"?>
<formControlPr xmlns="http://schemas.microsoft.com/office/spreadsheetml/2009/9/main" objectType="Drop" dropLines="20" dropStyle="combo" dx="16" fmlaLink="$I$24" fmlaRange="LU_FLU_Personnel_Unit_Cost_Categories" noThreeD="1" sel="1" val="0"/>
</file>

<file path=xl/ctrlProps/ctrlProp717.xml><?xml version="1.0" encoding="utf-8"?>
<formControlPr xmlns="http://schemas.microsoft.com/office/spreadsheetml/2009/9/main" objectType="Drop" dropLines="20" dropStyle="combo" dx="16" fmlaLink="$I$25" fmlaRange="LU_FLU_Personnel_Unit_Cost_Categories" noThreeD="1" sel="1" val="0"/>
</file>

<file path=xl/ctrlProps/ctrlProp718.xml><?xml version="1.0" encoding="utf-8"?>
<formControlPr xmlns="http://schemas.microsoft.com/office/spreadsheetml/2009/9/main" objectType="Drop" dropLines="20" dropStyle="combo" dx="16" fmlaLink="$I$26" fmlaRange="LU_FLU_Personnel_Unit_Cost_Categories" noThreeD="1" sel="1" val="0"/>
</file>

<file path=xl/ctrlProps/ctrlProp719.xml><?xml version="1.0" encoding="utf-8"?>
<formControlPr xmlns="http://schemas.microsoft.com/office/spreadsheetml/2009/9/main" objectType="Drop" dropLines="20" dropStyle="combo" dx="16" fmlaLink="$I$27" fmlaRange="LU_FLU_Personnel_Unit_Cost_Categories" noThreeD="1" sel="1" val="0"/>
</file>

<file path=xl/ctrlProps/ctrlProp72.xml><?xml version="1.0" encoding="utf-8"?>
<formControlPr xmlns="http://schemas.microsoft.com/office/spreadsheetml/2009/9/main" objectType="Drop" dropLines="20" dropStyle="combo" dx="20" fmlaLink="$D$81" fmlaRange="LU_FLU_RECC_PRICES_GROUP_E" noThreeD="1" sel="1" val="0"/>
</file>

<file path=xl/ctrlProps/ctrlProp720.xml><?xml version="1.0" encoding="utf-8"?>
<formControlPr xmlns="http://schemas.microsoft.com/office/spreadsheetml/2009/9/main" objectType="Drop" dropLines="20" dropStyle="combo" dx="16" fmlaLink="$I$28" fmlaRange="LU_FLU_Personnel_Unit_Cost_Categories" noThreeD="1" sel="1" val="0"/>
</file>

<file path=xl/ctrlProps/ctrlProp721.xml><?xml version="1.0" encoding="utf-8"?>
<formControlPr xmlns="http://schemas.microsoft.com/office/spreadsheetml/2009/9/main" objectType="Drop" dropLines="20" dropStyle="combo" dx="16" fmlaLink="$I$29" fmlaRange="LU_FLU_Personnel_Unit_Cost_Categories" noThreeD="1" sel="1" val="0"/>
</file>

<file path=xl/ctrlProps/ctrlProp722.xml><?xml version="1.0" encoding="utf-8"?>
<formControlPr xmlns="http://schemas.microsoft.com/office/spreadsheetml/2009/9/main" objectType="Drop" dropLines="20" dropStyle="combo" dx="16" fmlaLink="$I$30" fmlaRange="LU_FLU_Personnel_Unit_Cost_Categories" noThreeD="1" sel="1" val="0"/>
</file>

<file path=xl/ctrlProps/ctrlProp723.xml><?xml version="1.0" encoding="utf-8"?>
<formControlPr xmlns="http://schemas.microsoft.com/office/spreadsheetml/2009/9/main" objectType="Drop" dropLines="20" dropStyle="combo" dx="16" fmlaLink="DD_FLU_SOCMOB1_GROUP_B_1" fmlaRange="LU_FLU_RECC_PRICES_GROUP_A" noThreeD="1" sel="1" val="0"/>
</file>

<file path=xl/ctrlProps/ctrlProp724.xml><?xml version="1.0" encoding="utf-8"?>
<formControlPr xmlns="http://schemas.microsoft.com/office/spreadsheetml/2009/9/main" objectType="Drop" dropLines="20" dropStyle="combo" dx="16" fmlaLink="DD_FLU_SOCMOB1_GROUP_B_2" fmlaRange="LU_FLU_RECC_PRICES_GROUP_A" noThreeD="1" sel="4" val="3"/>
</file>

<file path=xl/ctrlProps/ctrlProp725.xml><?xml version="1.0" encoding="utf-8"?>
<formControlPr xmlns="http://schemas.microsoft.com/office/spreadsheetml/2009/9/main" objectType="Drop" dropLines="20" dropStyle="combo" dx="16" fmlaLink="DD_FLU_SOCMOB1_GROUP_B_3" fmlaRange="LU_FLU_RECC_PRICES_GROUP_A" noThreeD="1" sel="1" val="0"/>
</file>

<file path=xl/ctrlProps/ctrlProp726.xml><?xml version="1.0" encoding="utf-8"?>
<formControlPr xmlns="http://schemas.microsoft.com/office/spreadsheetml/2009/9/main" objectType="Drop" dropLines="20" dropStyle="combo" dx="16" fmlaLink="DD_FLU_SOCMOB1_GROUP_B_4" fmlaRange="LU_FLU_RECC_PRICES_GROUP_A" noThreeD="1" sel="1" val="0"/>
</file>

<file path=xl/ctrlProps/ctrlProp727.xml><?xml version="1.0" encoding="utf-8"?>
<formControlPr xmlns="http://schemas.microsoft.com/office/spreadsheetml/2009/9/main" objectType="Drop" dropLines="20" dropStyle="combo" dx="16" fmlaLink="DD_FLU_SOCMOB1_GROUP_B_5" fmlaRange="LU_FLU_RECC_PRICES_GROUP_A" noThreeD="1" sel="1" val="0"/>
</file>

<file path=xl/ctrlProps/ctrlProp728.xml><?xml version="1.0" encoding="utf-8"?>
<formControlPr xmlns="http://schemas.microsoft.com/office/spreadsheetml/2009/9/main" objectType="Drop" dropLines="20" dropStyle="combo" dx="16" fmlaLink="DD_FLU_SOCMOB1_GROUP_B_6" fmlaRange="LU_FLU_RECC_PRICES_GROUP_A" noThreeD="1" sel="1" val="0"/>
</file>

<file path=xl/ctrlProps/ctrlProp729.xml><?xml version="1.0" encoding="utf-8"?>
<formControlPr xmlns="http://schemas.microsoft.com/office/spreadsheetml/2009/9/main" objectType="Drop" dropLines="20" dropStyle="combo" dx="16" fmlaLink="DD_FLU_SOCMOB1_GROUP_B_7" fmlaRange="LU_FLU_RECC_PRICES_GROUP_A" noThreeD="1" sel="1" val="0"/>
</file>

<file path=xl/ctrlProps/ctrlProp73.xml><?xml version="1.0" encoding="utf-8"?>
<formControlPr xmlns="http://schemas.microsoft.com/office/spreadsheetml/2009/9/main" objectType="Drop" dropLines="20" dropStyle="combo" dx="20" fmlaLink="$D$82" fmlaRange="LU_FLU_RECC_PRICES_GROUP_E" noThreeD="1" sel="1" val="0"/>
</file>

<file path=xl/ctrlProps/ctrlProp730.xml><?xml version="1.0" encoding="utf-8"?>
<formControlPr xmlns="http://schemas.microsoft.com/office/spreadsheetml/2009/9/main" objectType="Drop" dropLines="20" dropStyle="combo" dx="16" fmlaLink="DD_FLU_SOCMOB1_GROUP_B_8" fmlaRange="LU_FLU_RECC_PRICES_GROUP_A" noThreeD="1" sel="1" val="0"/>
</file>

<file path=xl/ctrlProps/ctrlProp731.xml><?xml version="1.0" encoding="utf-8"?>
<formControlPr xmlns="http://schemas.microsoft.com/office/spreadsheetml/2009/9/main" objectType="Drop" dropLines="20" dropStyle="combo" dx="16" fmlaLink="DD_FLU_SOCMOB1_GROUP_B_9" fmlaRange="LU_FLU_RECC_PRICES_GROUP_A" noThreeD="1" sel="1" val="0"/>
</file>

<file path=xl/ctrlProps/ctrlProp732.xml><?xml version="1.0" encoding="utf-8"?>
<formControlPr xmlns="http://schemas.microsoft.com/office/spreadsheetml/2009/9/main" objectType="Drop" dropLines="20" dropStyle="combo" dx="16" fmlaLink="DD_FLU_SOCMOB1_GROUP_B_10" fmlaRange="LU_FLU_RECC_PRICES_GROUP_A" noThreeD="1" sel="1" val="0"/>
</file>

<file path=xl/ctrlProps/ctrlProp733.xml><?xml version="1.0" encoding="utf-8"?>
<formControlPr xmlns="http://schemas.microsoft.com/office/spreadsheetml/2009/9/main" objectType="Drop" dropLines="20" dropStyle="combo" dx="16" fmlaLink="DD_FLU_SOCMOB1_GROUP_B_11" fmlaRange="LU_FLU_RECC_PRICES_GROUP_A" noThreeD="1" sel="1" val="0"/>
</file>

<file path=xl/ctrlProps/ctrlProp734.xml><?xml version="1.0" encoding="utf-8"?>
<formControlPr xmlns="http://schemas.microsoft.com/office/spreadsheetml/2009/9/main" objectType="Drop" dropLines="20" dropStyle="combo" dx="16" fmlaLink="DD_FLU_SOCMOB1_GROUP_B_12" fmlaRange="LU_FLU_RECC_PRICES_GROUP_A" noThreeD="1" sel="1" val="0"/>
</file>

<file path=xl/ctrlProps/ctrlProp735.xml><?xml version="1.0" encoding="utf-8"?>
<formControlPr xmlns="http://schemas.microsoft.com/office/spreadsheetml/2009/9/main" objectType="Drop" dropLines="20" dropStyle="combo" dx="16" fmlaLink="DD_FLU_SOCMOB1_GROUP_B_13" fmlaRange="LU_FLU_RECC_PRICES_GROUP_A" noThreeD="1" sel="1" val="0"/>
</file>

<file path=xl/ctrlProps/ctrlProp736.xml><?xml version="1.0" encoding="utf-8"?>
<formControlPr xmlns="http://schemas.microsoft.com/office/spreadsheetml/2009/9/main" objectType="Drop" dropLines="20" dropStyle="combo" dx="16" fmlaLink="DD_FLU_SOCMOB1_GROUP_B_14" fmlaRange="LU_FLU_RECC_PRICES_GROUP_A" noThreeD="1" sel="1" val="0"/>
</file>

<file path=xl/ctrlProps/ctrlProp737.xml><?xml version="1.0" encoding="utf-8"?>
<formControlPr xmlns="http://schemas.microsoft.com/office/spreadsheetml/2009/9/main" objectType="Drop" dropLines="20" dropStyle="combo" dx="16" fmlaLink="DD_FLU_SOCMOB1_GROUP_B_15" fmlaRange="LU_FLU_RECC_PRICES_GROUP_A" noThreeD="1" sel="1" val="0"/>
</file>

<file path=xl/ctrlProps/ctrlProp738.xml><?xml version="1.0" encoding="utf-8"?>
<formControlPr xmlns="http://schemas.microsoft.com/office/spreadsheetml/2009/9/main" objectType="Drop" dropLines="20" dropStyle="combo" dx="16" fmlaLink="DD_FLU_SOCMOB_2_GROUP_B_1" fmlaRange="LU_FLU_RECC_PRICES_GROUP_A" noThreeD="1" sel="2" val="0"/>
</file>

<file path=xl/ctrlProps/ctrlProp739.xml><?xml version="1.0" encoding="utf-8"?>
<formControlPr xmlns="http://schemas.microsoft.com/office/spreadsheetml/2009/9/main" objectType="Drop" dropLines="20" dropStyle="combo" dx="16" fmlaLink="DD_FLU_SOCMOB_2_GROUP_B_2" fmlaRange="LU_FLU_RECC_PRICES_GROUP_A" noThreeD="1" sel="1" val="0"/>
</file>

<file path=xl/ctrlProps/ctrlProp74.xml><?xml version="1.0" encoding="utf-8"?>
<formControlPr xmlns="http://schemas.microsoft.com/office/spreadsheetml/2009/9/main" objectType="Drop" dropLines="20" dropStyle="combo" dx="20" fmlaLink="$D$83" fmlaRange="LU_FLU_RECC_PRICES_GROUP_E" noThreeD="1" sel="1" val="0"/>
</file>

<file path=xl/ctrlProps/ctrlProp740.xml><?xml version="1.0" encoding="utf-8"?>
<formControlPr xmlns="http://schemas.microsoft.com/office/spreadsheetml/2009/9/main" objectType="Drop" dropLines="20" dropStyle="combo" dx="16" fmlaLink="DD_FLU_SOCMOB_2_GROUP_B_3" fmlaRange="LU_FLU_RECC_PRICES_GROUP_A" noThreeD="1" sel="1" val="0"/>
</file>

<file path=xl/ctrlProps/ctrlProp741.xml><?xml version="1.0" encoding="utf-8"?>
<formControlPr xmlns="http://schemas.microsoft.com/office/spreadsheetml/2009/9/main" objectType="Drop" dropLines="20" dropStyle="combo" dx="16" fmlaLink="DD_FLU_SOCMOB_2_GROUP_B_4" fmlaRange="LU_FLU_RECC_PRICES_GROUP_A" noThreeD="1" sel="1" val="0"/>
</file>

<file path=xl/ctrlProps/ctrlProp742.xml><?xml version="1.0" encoding="utf-8"?>
<formControlPr xmlns="http://schemas.microsoft.com/office/spreadsheetml/2009/9/main" objectType="Drop" dropLines="20" dropStyle="combo" dx="16" fmlaLink="DD_FLU_SOCMOB_2_GROUP_B_5" fmlaRange="LU_FLU_RECC_PRICES_GROUP_A" noThreeD="1" sel="1" val="0"/>
</file>

<file path=xl/ctrlProps/ctrlProp743.xml><?xml version="1.0" encoding="utf-8"?>
<formControlPr xmlns="http://schemas.microsoft.com/office/spreadsheetml/2009/9/main" objectType="Drop" dropLines="20" dropStyle="combo" dx="16" fmlaLink="DD_FLU_SOCMOB_2_GROUP_B_6" fmlaRange="LU_FLU_RECC_PRICES_GROUP_A" noThreeD="1" sel="1" val="0"/>
</file>

<file path=xl/ctrlProps/ctrlProp744.xml><?xml version="1.0" encoding="utf-8"?>
<formControlPr xmlns="http://schemas.microsoft.com/office/spreadsheetml/2009/9/main" objectType="Drop" dropLines="20" dropStyle="combo" dx="16" fmlaLink="DD_FLU_SOCMOB_C_GROUP_B_1" fmlaRange="LU_FLU_RECC_PRICES_GROUP_A" noThreeD="1" sel="2" val="0"/>
</file>

<file path=xl/ctrlProps/ctrlProp745.xml><?xml version="1.0" encoding="utf-8"?>
<formControlPr xmlns="http://schemas.microsoft.com/office/spreadsheetml/2009/9/main" objectType="Drop" dropLines="20" dropStyle="combo" dx="16" fmlaLink="DD_FLU_SOCMOB_C_GROUP_B_2" fmlaRange="LU_FLU_RECC_PRICES_GROUP_A" noThreeD="1" sel="1" val="0"/>
</file>

<file path=xl/ctrlProps/ctrlProp746.xml><?xml version="1.0" encoding="utf-8"?>
<formControlPr xmlns="http://schemas.microsoft.com/office/spreadsheetml/2009/9/main" objectType="Drop" dropLines="20" dropStyle="combo" dx="16" fmlaLink="DD_FLU_SOCMOB_C_GROUP_B_3" fmlaRange="LU_FLU_RECC_PRICES_GROUP_A" noThreeD="1" sel="1" val="0"/>
</file>

<file path=xl/ctrlProps/ctrlProp747.xml><?xml version="1.0" encoding="utf-8"?>
<formControlPr xmlns="http://schemas.microsoft.com/office/spreadsheetml/2009/9/main" objectType="Drop" dropLines="20" dropStyle="combo" dx="16" fmlaLink="DD_FLU_SOCMOB_C_GROUP_B_4" fmlaRange="LU_FLU_RECC_PRICES_GROUP_A" noThreeD="1" sel="1" val="0"/>
</file>

<file path=xl/ctrlProps/ctrlProp748.xml><?xml version="1.0" encoding="utf-8"?>
<formControlPr xmlns="http://schemas.microsoft.com/office/spreadsheetml/2009/9/main" objectType="Drop" dropLines="20" dropStyle="combo" dx="16" fmlaLink="DD_FLU_SOCMOB_C_GROUP_B_5" fmlaRange="LU_FLU_RECC_PRICES_GROUP_A" noThreeD="1" sel="1" val="0"/>
</file>

<file path=xl/ctrlProps/ctrlProp749.xml><?xml version="1.0" encoding="utf-8"?>
<formControlPr xmlns="http://schemas.microsoft.com/office/spreadsheetml/2009/9/main" objectType="Drop" dropLines="20" dropStyle="combo" dx="16" fmlaLink="DD_FLU_SOCMOB_C_GROUP_B_6" fmlaRange="LU_FLU_RECC_PRICES_GROUP_A" noThreeD="1" sel="1" val="0"/>
</file>

<file path=xl/ctrlProps/ctrlProp75.xml><?xml version="1.0" encoding="utf-8"?>
<formControlPr xmlns="http://schemas.microsoft.com/office/spreadsheetml/2009/9/main" objectType="Drop" dropLines="20" dropStyle="combo" dx="20" fmlaLink="$D$84" fmlaRange="LU_FLU_RECC_PRICES_GROUP_E" noThreeD="1" sel="1" val="0"/>
</file>

<file path=xl/ctrlProps/ctrlProp750.xml><?xml version="1.0" encoding="utf-8"?>
<formControlPr xmlns="http://schemas.microsoft.com/office/spreadsheetml/2009/9/main" objectType="Drop" dropLines="20" dropStyle="combo" dx="16" fmlaLink="DD_FLU_MonEval_Activ_A_Group_C1" fmlaRange="LU_FLU_RECC_PRICES_GROUP_C" noThreeD="1" sel="2" val="0"/>
</file>

<file path=xl/ctrlProps/ctrlProp751.xml><?xml version="1.0" encoding="utf-8"?>
<formControlPr xmlns="http://schemas.microsoft.com/office/spreadsheetml/2009/9/main" objectType="Drop" dropLines="20" dropStyle="combo" dx="16" fmlaLink="DD_FLU_MonEval_Activ_A_Group_C2" fmlaRange="LU_FLU_RECC_PRICES_GROUP_C" noThreeD="1" sel="1" val="0"/>
</file>

<file path=xl/ctrlProps/ctrlProp752.xml><?xml version="1.0" encoding="utf-8"?>
<formControlPr xmlns="http://schemas.microsoft.com/office/spreadsheetml/2009/9/main" objectType="Drop" dropLines="20" dropStyle="combo" dx="16" fmlaLink="DD_FLU_MonEval_Activ_A_Group_C3" fmlaRange="LU_FLU_RECC_PRICES_GROUP_C" noThreeD="1" sel="1" val="0"/>
</file>

<file path=xl/ctrlProps/ctrlProp753.xml><?xml version="1.0" encoding="utf-8"?>
<formControlPr xmlns="http://schemas.microsoft.com/office/spreadsheetml/2009/9/main" objectType="Drop" dropLines="20" dropStyle="combo" dx="16" fmlaLink="DD_FLU_MonEval_Activ_A_Group_C4" fmlaRange="LU_FLU_RECC_PRICES_GROUP_C" noThreeD="1" sel="1" val="0"/>
</file>

<file path=xl/ctrlProps/ctrlProp754.xml><?xml version="1.0" encoding="utf-8"?>
<formControlPr xmlns="http://schemas.microsoft.com/office/spreadsheetml/2009/9/main" objectType="Drop" dropLines="20" dropStyle="combo" dx="16" fmlaLink="DD_FLU_MonEval_Activ_A_Group_C5" fmlaRange="LU_FLU_RECC_PRICES_GROUP_C" noThreeD="1" sel="1" val="0"/>
</file>

<file path=xl/ctrlProps/ctrlProp755.xml><?xml version="1.0" encoding="utf-8"?>
<formControlPr xmlns="http://schemas.microsoft.com/office/spreadsheetml/2009/9/main" objectType="Drop" dropLines="20" dropStyle="combo" dx="16" fmlaLink="DD_FLU_MonEval_Activ_A_Group_D1" fmlaRange="LU_FLU_RECC_PRICES_GROUP_D" noThreeD="1" sel="6" val="0"/>
</file>

<file path=xl/ctrlProps/ctrlProp756.xml><?xml version="1.0" encoding="utf-8"?>
<formControlPr xmlns="http://schemas.microsoft.com/office/spreadsheetml/2009/9/main" objectType="Drop" dropLines="20" dropStyle="combo" dx="16" fmlaLink="DD_FLU_MonEval_Activ_A_Group_D2" fmlaRange="LU_FLU_RECC_PRICES_GROUP_D" noThreeD="1" sel="1" val="0"/>
</file>

<file path=xl/ctrlProps/ctrlProp757.xml><?xml version="1.0" encoding="utf-8"?>
<formControlPr xmlns="http://schemas.microsoft.com/office/spreadsheetml/2009/9/main" objectType="Drop" dropLines="20" dropStyle="combo" dx="16" fmlaLink="DD_FLU_MonEval_Activ_A_Group_D3" fmlaRange="LU_FLU_RECC_PRICES_GROUP_D" noThreeD="1" sel="1" val="0"/>
</file>

<file path=xl/ctrlProps/ctrlProp758.xml><?xml version="1.0" encoding="utf-8"?>
<formControlPr xmlns="http://schemas.microsoft.com/office/spreadsheetml/2009/9/main" objectType="Drop" dropLines="20" dropStyle="combo" dx="16" fmlaLink="DD_FLU_MonEval_Activ_A_Group_D4" fmlaRange="LU_FLU_RECC_PRICES_GROUP_D" noThreeD="1" sel="1" val="0"/>
</file>

<file path=xl/ctrlProps/ctrlProp759.xml><?xml version="1.0" encoding="utf-8"?>
<formControlPr xmlns="http://schemas.microsoft.com/office/spreadsheetml/2009/9/main" objectType="Drop" dropLines="20" dropStyle="combo" dx="16" fmlaLink="DD_FLU_MonEval_Activ_A_Group_D5" fmlaRange="LU_FLU_RECC_PRICES_GROUP_D" noThreeD="1" sel="1" val="0"/>
</file>

<file path=xl/ctrlProps/ctrlProp76.xml><?xml version="1.0" encoding="utf-8"?>
<formControlPr xmlns="http://schemas.microsoft.com/office/spreadsheetml/2009/9/main" objectType="Drop" dropLines="20" dropStyle="combo" dx="20" fmlaLink="$D$85" fmlaRange="LU_FLU_RECC_PRICES_GROUP_E" noThreeD="1" sel="1" val="0"/>
</file>

<file path=xl/ctrlProps/ctrlProp760.xml><?xml version="1.0" encoding="utf-8"?>
<formControlPr xmlns="http://schemas.microsoft.com/office/spreadsheetml/2009/9/main" objectType="Drop" dropLines="20" dropStyle="combo" dx="16" fmlaLink="DD_FLU_MonEval_Activ_A_Group_E1" fmlaRange="LU_FLU_RECC_PRICES_GROUP_E" noThreeD="1" sel="2" val="0"/>
</file>

<file path=xl/ctrlProps/ctrlProp761.xml><?xml version="1.0" encoding="utf-8"?>
<formControlPr xmlns="http://schemas.microsoft.com/office/spreadsheetml/2009/9/main" objectType="Drop" dropLines="20" dropStyle="combo" dx="16" fmlaLink="DD_FLU_MonEval_Activ_A_Group_E2" fmlaRange="LU_FLU_RECC_PRICES_GROUP_E" noThreeD="1" sel="1" val="0"/>
</file>

<file path=xl/ctrlProps/ctrlProp762.xml><?xml version="1.0" encoding="utf-8"?>
<formControlPr xmlns="http://schemas.microsoft.com/office/spreadsheetml/2009/9/main" objectType="Drop" dropLines="20" dropStyle="combo" dx="16" fmlaLink="DD_FLU_MonEval_Activ_A_Group_E3" fmlaRange="LU_FLU_RECC_PRICES_GROUP_E" noThreeD="1" sel="1" val="0"/>
</file>

<file path=xl/ctrlProps/ctrlProp763.xml><?xml version="1.0" encoding="utf-8"?>
<formControlPr xmlns="http://schemas.microsoft.com/office/spreadsheetml/2009/9/main" objectType="Drop" dropLines="20" dropStyle="combo" dx="16" fmlaLink="DD_FLU_MonEval_Activ_A_Group_E4" fmlaRange="LU_FLU_RECC_PRICES_GROUP_E" noThreeD="1" sel="1" val="0"/>
</file>

<file path=xl/ctrlProps/ctrlProp764.xml><?xml version="1.0" encoding="utf-8"?>
<formControlPr xmlns="http://schemas.microsoft.com/office/spreadsheetml/2009/9/main" objectType="Drop" dropLines="20" dropStyle="combo" dx="16" fmlaLink="DD_FLU_MonEval_Activ_A_Group_E5" fmlaRange="LU_FLU_RECC_PRICES_GROUP_E" noThreeD="1" sel="1" val="0"/>
</file>

<file path=xl/ctrlProps/ctrlProp765.xml><?xml version="1.0" encoding="utf-8"?>
<formControlPr xmlns="http://schemas.microsoft.com/office/spreadsheetml/2009/9/main" objectType="Drop" dropLines="20" dropStyle="combo" dx="16" fmlaLink="DD_FLU_MonEval_Activ_A_Group_E6" fmlaRange="LU_FLU_RECC_PRICES_GROUP_E" noThreeD="1" sel="1" val="0"/>
</file>

<file path=xl/ctrlProps/ctrlProp766.xml><?xml version="1.0" encoding="utf-8"?>
<formControlPr xmlns="http://schemas.microsoft.com/office/spreadsheetml/2009/9/main" objectType="Drop" dropLines="20" dropStyle="combo" dx="16" fmlaLink="DD_FLU_MonEval_Activ_A_Group_E7" fmlaRange="LU_FLU_RECC_PRICES_GROUP_E" noThreeD="1" sel="1" val="0"/>
</file>

<file path=xl/ctrlProps/ctrlProp767.xml><?xml version="1.0" encoding="utf-8"?>
<formControlPr xmlns="http://schemas.microsoft.com/office/spreadsheetml/2009/9/main" objectType="Drop" dropLines="20" dropStyle="combo" dx="16" fmlaLink="DD_FLU_MonEval_Activ_A_Group_E8" fmlaRange="LU_FLU_RECC_PRICES_GROUP_E" noThreeD="1" sel="1" val="0"/>
</file>

<file path=xl/ctrlProps/ctrlProp768.xml><?xml version="1.0" encoding="utf-8"?>
<formControlPr xmlns="http://schemas.microsoft.com/office/spreadsheetml/2009/9/main" objectType="Drop" dropLines="20" dropStyle="combo" dx="16" fmlaLink="DD_FLU_MonEval_Activ_A_Group_E9" fmlaRange="LU_FLU_RECC_PRICES_GROUP_E" noThreeD="1" sel="1" val="0"/>
</file>

<file path=xl/ctrlProps/ctrlProp769.xml><?xml version="1.0" encoding="utf-8"?>
<formControlPr xmlns="http://schemas.microsoft.com/office/spreadsheetml/2009/9/main" objectType="Drop" dropLines="20" dropStyle="combo" dx="16" fmlaLink="DD_FLU_MonEval_Activ_B_Group_C1" fmlaRange="LU_FLU_RECC_PRICES_GROUP_C" noThreeD="1" sel="10" val="0"/>
</file>

<file path=xl/ctrlProps/ctrlProp77.xml><?xml version="1.0" encoding="utf-8"?>
<formControlPr xmlns="http://schemas.microsoft.com/office/spreadsheetml/2009/9/main" objectType="Drop" dropLines="20" dropStyle="combo" dx="20" fmlaLink="$D$86" fmlaRange="LU_FLU_RECC_PRICES_GROUP_E" noThreeD="1" sel="1" val="0"/>
</file>

<file path=xl/ctrlProps/ctrlProp770.xml><?xml version="1.0" encoding="utf-8"?>
<formControlPr xmlns="http://schemas.microsoft.com/office/spreadsheetml/2009/9/main" objectType="Drop" dropLines="20" dropStyle="combo" dx="16" fmlaLink="DD_FLU_MonEval_Activ_B_Group_C2" fmlaRange="LU_FLU_RECC_PRICES_GROUP_C" noThreeD="1" sel="1" val="0"/>
</file>

<file path=xl/ctrlProps/ctrlProp771.xml><?xml version="1.0" encoding="utf-8"?>
<formControlPr xmlns="http://schemas.microsoft.com/office/spreadsheetml/2009/9/main" objectType="Drop" dropLines="20" dropStyle="combo" dx="16" fmlaLink="DD_FLU_MonEval_Activ_B_Group_C3" fmlaRange="LU_FLU_RECC_PRICES_GROUP_C" noThreeD="1" sel="1" val="0"/>
</file>

<file path=xl/ctrlProps/ctrlProp772.xml><?xml version="1.0" encoding="utf-8"?>
<formControlPr xmlns="http://schemas.microsoft.com/office/spreadsheetml/2009/9/main" objectType="Drop" dropLines="20" dropStyle="combo" dx="16" fmlaLink="DD_FLU_MonEval_Activ_B_Group_C4" fmlaRange="LU_FLU_RECC_PRICES_GROUP_C" noThreeD="1" sel="1" val="0"/>
</file>

<file path=xl/ctrlProps/ctrlProp773.xml><?xml version="1.0" encoding="utf-8"?>
<formControlPr xmlns="http://schemas.microsoft.com/office/spreadsheetml/2009/9/main" objectType="Drop" dropLines="20" dropStyle="combo" dx="16" fmlaLink="DD_FLU_MonEval_Activ_B_Group_C5" fmlaRange="LU_FLU_RECC_PRICES_GROUP_C" noThreeD="1" sel="1" val="0"/>
</file>

<file path=xl/ctrlProps/ctrlProp774.xml><?xml version="1.0" encoding="utf-8"?>
<formControlPr xmlns="http://schemas.microsoft.com/office/spreadsheetml/2009/9/main" objectType="Drop" dropLines="20" dropStyle="combo" dx="16" fmlaLink="DD_FLU_MonEval_Activ_B_Group_C6" fmlaRange="LU_FLU_RECC_PRICES_GROUP_C" noThreeD="1" sel="1" val="0"/>
</file>

<file path=xl/ctrlProps/ctrlProp775.xml><?xml version="1.0" encoding="utf-8"?>
<formControlPr xmlns="http://schemas.microsoft.com/office/spreadsheetml/2009/9/main" objectType="Drop" dropLines="20" dropStyle="combo" dx="16" fmlaLink="DD_FLU_MonEval_Activ_B_Group_D1" fmlaRange="LU_FLU_RECC_PRICES_GROUP_D" noThreeD="1" sel="8" val="2"/>
</file>

<file path=xl/ctrlProps/ctrlProp776.xml><?xml version="1.0" encoding="utf-8"?>
<formControlPr xmlns="http://schemas.microsoft.com/office/spreadsheetml/2009/9/main" objectType="Drop" dropLines="20" dropStyle="combo" dx="16" fmlaLink="DD_FLU_MonEval_Activ_B_Group_D2" fmlaRange="LU_FLU_RECC_PRICES_GROUP_D" noThreeD="1" sel="1" val="0"/>
</file>

<file path=xl/ctrlProps/ctrlProp777.xml><?xml version="1.0" encoding="utf-8"?>
<formControlPr xmlns="http://schemas.microsoft.com/office/spreadsheetml/2009/9/main" objectType="Drop" dropLines="20" dropStyle="combo" dx="16" fmlaLink="DD_FLU_MonEval_Activ_B_Group_D3" fmlaRange="LU_FLU_RECC_PRICES_GROUP_D" noThreeD="1" sel="1" val="0"/>
</file>

<file path=xl/ctrlProps/ctrlProp778.xml><?xml version="1.0" encoding="utf-8"?>
<formControlPr xmlns="http://schemas.microsoft.com/office/spreadsheetml/2009/9/main" objectType="Drop" dropLines="20" dropStyle="combo" dx="16" fmlaLink="DD_FLU_MonEval_Activ_B_Group_D4" fmlaRange="LU_FLU_RECC_PRICES_GROUP_D" noThreeD="1" sel="1" val="0"/>
</file>

<file path=xl/ctrlProps/ctrlProp779.xml><?xml version="1.0" encoding="utf-8"?>
<formControlPr xmlns="http://schemas.microsoft.com/office/spreadsheetml/2009/9/main" objectType="Drop" dropLines="20" dropStyle="combo" dx="16" fmlaLink="DD_FLU_MonEval_Activ_B_Group_D5" fmlaRange="LU_FLU_RECC_PRICES_GROUP_D" noThreeD="1" sel="1" val="0"/>
</file>

<file path=xl/ctrlProps/ctrlProp78.xml><?xml version="1.0" encoding="utf-8"?>
<formControlPr xmlns="http://schemas.microsoft.com/office/spreadsheetml/2009/9/main" objectType="Drop" dropLines="20" dropStyle="combo" dx="20" fmlaLink="$D$87" fmlaRange="LU_FLU_RECC_PRICES_GROUP_E" noThreeD="1" sel="1" val="0"/>
</file>

<file path=xl/ctrlProps/ctrlProp780.xml><?xml version="1.0" encoding="utf-8"?>
<formControlPr xmlns="http://schemas.microsoft.com/office/spreadsheetml/2009/9/main" objectType="Drop" dropLines="20" dropStyle="combo" dx="16" fmlaLink="DD_FLU_MonEval_Activ_B_Group_D6" fmlaRange="LU_FLU_RECC_PRICES_GROUP_D" noThreeD="1" sel="1" val="0"/>
</file>

<file path=xl/ctrlProps/ctrlProp781.xml><?xml version="1.0" encoding="utf-8"?>
<formControlPr xmlns="http://schemas.microsoft.com/office/spreadsheetml/2009/9/main" objectType="Drop" dropLines="20" dropStyle="combo" dx="16" fmlaLink="DD_FLU_MonEval_Activ_B_Group_E1" fmlaRange="LU_FLU_RECC_PRICES_GROUP_E" noThreeD="1" sel="6" val="0"/>
</file>

<file path=xl/ctrlProps/ctrlProp782.xml><?xml version="1.0" encoding="utf-8"?>
<formControlPr xmlns="http://schemas.microsoft.com/office/spreadsheetml/2009/9/main" objectType="Drop" dropLines="20" dropStyle="combo" dx="16" fmlaLink="DD_FLU_MonEval_Activ_B_Group_E2" fmlaRange="LU_FLU_RECC_PRICES_GROUP_E" noThreeD="1" sel="2" val="0"/>
</file>

<file path=xl/ctrlProps/ctrlProp783.xml><?xml version="1.0" encoding="utf-8"?>
<formControlPr xmlns="http://schemas.microsoft.com/office/spreadsheetml/2009/9/main" objectType="Drop" dropLines="20" dropStyle="combo" dx="16" fmlaLink="DD_FLU_MonEval_Activ_B_Group_E3" fmlaRange="LU_FLU_RECC_PRICES_GROUP_E" noThreeD="1" sel="1" val="0"/>
</file>

<file path=xl/ctrlProps/ctrlProp784.xml><?xml version="1.0" encoding="utf-8"?>
<formControlPr xmlns="http://schemas.microsoft.com/office/spreadsheetml/2009/9/main" objectType="Drop" dropLines="20" dropStyle="combo" dx="16" fmlaLink="DD_FLU_MonEval_Activ_B_Group_E4" fmlaRange="LU_FLU_RECC_PRICES_GROUP_E" noThreeD="1" sel="1" val="0"/>
</file>

<file path=xl/ctrlProps/ctrlProp785.xml><?xml version="1.0" encoding="utf-8"?>
<formControlPr xmlns="http://schemas.microsoft.com/office/spreadsheetml/2009/9/main" objectType="Drop" dropLines="20" dropStyle="combo" dx="16" fmlaLink="DD_FLU_MonEval_Activ_B_Group_E5" fmlaRange="LU_FLU_RECC_PRICES_GROUP_E" noThreeD="1" sel="1" val="0"/>
</file>

<file path=xl/ctrlProps/ctrlProp786.xml><?xml version="1.0" encoding="utf-8"?>
<formControlPr xmlns="http://schemas.microsoft.com/office/spreadsheetml/2009/9/main" objectType="Drop" dropLines="20" dropStyle="combo" dx="16" fmlaLink="DD_FLU_MonEval_Activ_B_Group_E6" fmlaRange="LU_FLU_RECC_PRICES_GROUP_E" noThreeD="1" sel="1" val="0"/>
</file>

<file path=xl/ctrlProps/ctrlProp787.xml><?xml version="1.0" encoding="utf-8"?>
<formControlPr xmlns="http://schemas.microsoft.com/office/spreadsheetml/2009/9/main" objectType="Drop" dropLines="20" dropStyle="combo" dx="16" fmlaLink="DD_FLU_MonEval_Activ_B_Group_E7" fmlaRange="LU_FLU_RECC_PRICES_GROUP_E" noThreeD="1" sel="1" val="0"/>
</file>

<file path=xl/ctrlProps/ctrlProp788.xml><?xml version="1.0" encoding="utf-8"?>
<formControlPr xmlns="http://schemas.microsoft.com/office/spreadsheetml/2009/9/main" objectType="Drop" dropLines="20" dropStyle="combo" dx="16" fmlaLink="DD_FLU_SupMon_C_Allow1" fmlaRange="LU_FLU_RECC_PRICES_GROUP_C" noThreeD="1" sel="2" val="0"/>
</file>

<file path=xl/ctrlProps/ctrlProp789.xml><?xml version="1.0" encoding="utf-8"?>
<formControlPr xmlns="http://schemas.microsoft.com/office/spreadsheetml/2009/9/main" objectType="Drop" dropLines="20" dropStyle="combo" dx="16" fmlaLink="DD_FLU_SupMon_C_Allow2" fmlaRange="LU_FLU_RECC_PRICES_GROUP_C" noThreeD="1" sel="1" val="0"/>
</file>

<file path=xl/ctrlProps/ctrlProp79.xml><?xml version="1.0" encoding="utf-8"?>
<formControlPr xmlns="http://schemas.microsoft.com/office/spreadsheetml/2009/9/main" objectType="Drop" dropLines="20" dropStyle="combo" dx="20" fmlaLink="$D$88" fmlaRange="LU_FLU_RECC_PRICES_GROUP_E" noThreeD="1" sel="1" val="0"/>
</file>

<file path=xl/ctrlProps/ctrlProp790.xml><?xml version="1.0" encoding="utf-8"?>
<formControlPr xmlns="http://schemas.microsoft.com/office/spreadsheetml/2009/9/main" objectType="Drop" dropLines="20" dropStyle="combo" dx="16" fmlaLink="DD_FLU_SupMon_C_Allow3" fmlaRange="LU_FLU_RECC_PRICES_GROUP_C" noThreeD="1" sel="1" val="0"/>
</file>

<file path=xl/ctrlProps/ctrlProp791.xml><?xml version="1.0" encoding="utf-8"?>
<formControlPr xmlns="http://schemas.microsoft.com/office/spreadsheetml/2009/9/main" objectType="Drop" dropLines="20" dropStyle="combo" dx="16" fmlaLink="DD_FLU_SupMon_C_Allow4" fmlaRange="LU_FLU_RECC_PRICES_GROUP_C" noThreeD="1" sel="1" val="0"/>
</file>

<file path=xl/ctrlProps/ctrlProp792.xml><?xml version="1.0" encoding="utf-8"?>
<formControlPr xmlns="http://schemas.microsoft.com/office/spreadsheetml/2009/9/main" objectType="Drop" dropLines="20" dropStyle="combo" dx="16" fmlaLink="DD_FLU_SupMon_C_Allow5" fmlaRange="LU_FLU_RECC_PRICES_GROUP_C" noThreeD="1" sel="1" val="0"/>
</file>

<file path=xl/ctrlProps/ctrlProp793.xml><?xml version="1.0" encoding="utf-8"?>
<formControlPr xmlns="http://schemas.microsoft.com/office/spreadsheetml/2009/9/main" objectType="Drop" dropLines="20" dropStyle="combo" dx="16" fmlaLink="DD_FLU_SupMon_C_Allow6" fmlaRange="LU_FLU_RECC_PRICES_GROUP_C" noThreeD="1" sel="1" val="0"/>
</file>

<file path=xl/ctrlProps/ctrlProp794.xml><?xml version="1.0" encoding="utf-8"?>
<formControlPr xmlns="http://schemas.microsoft.com/office/spreadsheetml/2009/9/main" objectType="Drop" dropLines="20" dropStyle="combo" dx="16" fmlaLink="DD_FLU_SupMon_C_Supp1" fmlaRange="LU_FLU_RECC_PRICES_GROUP_D" noThreeD="1" sel="4" val="0"/>
</file>

<file path=xl/ctrlProps/ctrlProp795.xml><?xml version="1.0" encoding="utf-8"?>
<formControlPr xmlns="http://schemas.microsoft.com/office/spreadsheetml/2009/9/main" objectType="Drop" dropLines="20" dropStyle="combo" dx="16" fmlaLink="DD_FLU_SupMon_C_Supp2" fmlaRange="LU_FLU_RECC_PRICES_GROUP_D" noThreeD="1" sel="1" val="0"/>
</file>

<file path=xl/ctrlProps/ctrlProp796.xml><?xml version="1.0" encoding="utf-8"?>
<formControlPr xmlns="http://schemas.microsoft.com/office/spreadsheetml/2009/9/main" objectType="Drop" dropLines="20" dropStyle="combo" dx="16" fmlaLink="DD_FLU_SupMon_C_Supp3" fmlaRange="LU_FLU_RECC_PRICES_GROUP_D" noThreeD="1" sel="1" val="0"/>
</file>

<file path=xl/ctrlProps/ctrlProp797.xml><?xml version="1.0" encoding="utf-8"?>
<formControlPr xmlns="http://schemas.microsoft.com/office/spreadsheetml/2009/9/main" objectType="Drop" dropLines="20" dropStyle="combo" dx="16" fmlaLink="DD_FLU_SupMon_C_Supp4" fmlaRange="LU_FLU_RECC_PRICES_GROUP_D" noThreeD="1" sel="1" val="0"/>
</file>

<file path=xl/ctrlProps/ctrlProp798.xml><?xml version="1.0" encoding="utf-8"?>
<formControlPr xmlns="http://schemas.microsoft.com/office/spreadsheetml/2009/9/main" objectType="Drop" dropLines="20" dropStyle="combo" dx="16" fmlaLink="DD_FLU_SupMon_C_Supp5" fmlaRange="LU_FLU_RECC_PRICES_GROUP_D" noThreeD="1" sel="1" val="0"/>
</file>

<file path=xl/ctrlProps/ctrlProp799.xml><?xml version="1.0" encoding="utf-8"?>
<formControlPr xmlns="http://schemas.microsoft.com/office/spreadsheetml/2009/9/main" objectType="Drop" dropLines="20" dropStyle="combo" dx="16" fmlaLink="DD_FLU_SupMon_C_Supp6" fmlaRange="LU_FLU_RECC_PRICES_GROUP_D" noThreeD="1" sel="1" val="0"/>
</file>

<file path=xl/ctrlProps/ctrlProp8.xml><?xml version="1.0" encoding="utf-8"?>
<formControlPr xmlns="http://schemas.microsoft.com/office/spreadsheetml/2009/9/main" objectType="Drop" dropLines="20" dropStyle="combo" dx="20" fmlaLink="DD_FLU_MicroC_Currency" fmlaRange="LU_FLU_Curr_Code" noThreeD="1" sel="2" val="0"/>
</file>

<file path=xl/ctrlProps/ctrlProp80.xml><?xml version="1.0" encoding="utf-8"?>
<formControlPr xmlns="http://schemas.microsoft.com/office/spreadsheetml/2009/9/main" objectType="Drop" dropLines="20" dropStyle="combo" dx="20" fmlaLink="DD_FLU_DETAIL_MICRO_A_1" fmlaRange="LU_FLU_RECC_PRICES_GROUP_A" noThreeD="1" sel="2" val="0"/>
</file>

<file path=xl/ctrlProps/ctrlProp800.xml><?xml version="1.0" encoding="utf-8"?>
<formControlPr xmlns="http://schemas.microsoft.com/office/spreadsheetml/2009/9/main" objectType="Drop" dropLines="20" dropStyle="combo" dx="16" fmlaLink="DD_FLU_SupMon_C_ODC1" fmlaRange="LU_FLU_RECC_PRICES_GROUP_E" noThreeD="1" sel="2" val="0"/>
</file>

<file path=xl/ctrlProps/ctrlProp801.xml><?xml version="1.0" encoding="utf-8"?>
<formControlPr xmlns="http://schemas.microsoft.com/office/spreadsheetml/2009/9/main" objectType="Drop" dropLines="20" dropStyle="combo" dx="16" fmlaLink="DD_FLU_SupMon_C_ODC2" fmlaRange="LU_FLU_RECC_PRICES_GROUP_E" noThreeD="1" sel="2" val="0"/>
</file>

<file path=xl/ctrlProps/ctrlProp802.xml><?xml version="1.0" encoding="utf-8"?>
<formControlPr xmlns="http://schemas.microsoft.com/office/spreadsheetml/2009/9/main" objectType="Drop" dropLines="20" dropStyle="combo" dx="16" fmlaLink="DD_FLU_SupMon_C_ODC3" fmlaRange="LU_FLU_RECC_PRICES_GROUP_E" noThreeD="1" sel="1" val="0"/>
</file>

<file path=xl/ctrlProps/ctrlProp803.xml><?xml version="1.0" encoding="utf-8"?>
<formControlPr xmlns="http://schemas.microsoft.com/office/spreadsheetml/2009/9/main" objectType="Drop" dropLines="20" dropStyle="combo" dx="16" fmlaLink="DD_FLU_SupMon_C_ODC4" fmlaRange="LU_FLU_RECC_PRICES_GROUP_E" noThreeD="1" sel="1" val="0"/>
</file>

<file path=xl/ctrlProps/ctrlProp804.xml><?xml version="1.0" encoding="utf-8"?>
<formControlPr xmlns="http://schemas.microsoft.com/office/spreadsheetml/2009/9/main" objectType="Drop" dropLines="20" dropStyle="combo" dx="16" fmlaLink="DD_FLU_SupMon_C_ODC5" fmlaRange="LU_FLU_RECC_PRICES_GROUP_E" noThreeD="1" sel="1" val="0"/>
</file>

<file path=xl/ctrlProps/ctrlProp805.xml><?xml version="1.0" encoding="utf-8"?>
<formControlPr xmlns="http://schemas.microsoft.com/office/spreadsheetml/2009/9/main" objectType="Drop" dropLines="20" dropStyle="combo" dx="16" fmlaLink="DD_FLU_SupMon_C_ODC6" fmlaRange="LU_FLU_RECC_PRICES_GROUP_E" noThreeD="1" sel="1" val="0"/>
</file>

<file path=xl/ctrlProps/ctrlProp806.xml><?xml version="1.0" encoding="utf-8"?>
<formControlPr xmlns="http://schemas.microsoft.com/office/spreadsheetml/2009/9/main" objectType="Drop" dropLines="20" dropStyle="combo" dx="16" fmlaLink="DD_FLU_SupMon_C_ODC7" fmlaRange="LU_FLU_RECC_PRICES_GROUP_E" noThreeD="1" sel="1" val="0"/>
</file>

<file path=xl/ctrlProps/ctrlProp807.xml><?xml version="1.0" encoding="utf-8"?>
<formControlPr xmlns="http://schemas.microsoft.com/office/spreadsheetml/2009/9/main" objectType="Drop" dropLines="20" dropStyle="combo" dx="20" fmlaLink="DD_FLU_MonEval_Activ_B_Group_D7" fmlaRange="LU_FLU_RECC_PRICES_GROUP_D" noThreeD="1" sel="1" val="0"/>
</file>

<file path=xl/ctrlProps/ctrlProp808.xml><?xml version="1.0" encoding="utf-8"?>
<formControlPr xmlns="http://schemas.microsoft.com/office/spreadsheetml/2009/9/main" objectType="Drop" dropLines="20" dropStyle="combo" dx="20" fmlaLink="DD_FLU_SupMon_C_Supp7" fmlaRange="LU_FLU_RECC_PRICES_GROUP_D" noThreeD="1" sel="1" val="0"/>
</file>

<file path=xl/ctrlProps/ctrlProp809.xml><?xml version="1.0" encoding="utf-8"?>
<formControlPr xmlns="http://schemas.microsoft.com/office/spreadsheetml/2009/9/main" objectType="Drop" dropLines="20" dropStyle="combo" dx="20" fmlaLink="DD_FLU_MonEval_Activ_B_Group_D8" fmlaRange="LU_FLU_RECC_PRICES_GROUP_D" noThreeD="1" sel="1" val="0"/>
</file>

<file path=xl/ctrlProps/ctrlProp81.xml><?xml version="1.0" encoding="utf-8"?>
<formControlPr xmlns="http://schemas.microsoft.com/office/spreadsheetml/2009/9/main" objectType="Drop" dropLines="20" dropStyle="combo" dx="20" fmlaLink="DD_FLU_DETAIL_MICRO_A_2" fmlaRange="LU_FLU_RECC_PRICES_GROUP_A" noThreeD="1" sel="2" val="0"/>
</file>

<file path=xl/ctrlProps/ctrlProp810.xml><?xml version="1.0" encoding="utf-8"?>
<formControlPr xmlns="http://schemas.microsoft.com/office/spreadsheetml/2009/9/main" objectType="Drop" dropLines="20" dropStyle="combo" dx="20" fmlaLink="DD_FLU_MonEval_Activ_B_Group_D9" fmlaRange="LU_FLU_RECC_PRICES_GROUP_D" noThreeD="1" sel="1" val="0"/>
</file>

<file path=xl/ctrlProps/ctrlProp811.xml><?xml version="1.0" encoding="utf-8"?>
<formControlPr xmlns="http://schemas.microsoft.com/office/spreadsheetml/2009/9/main" objectType="Drop" dropLines="20" dropStyle="combo" dx="20" fmlaLink="DD_FLU_MonEval_Activ_B_Group_D10" fmlaRange="LU_FLU_RECC_PRICES_GROUP_D" noThreeD="1" sel="1" val="0"/>
</file>

<file path=xl/ctrlProps/ctrlProp812.xml><?xml version="1.0" encoding="utf-8"?>
<formControlPr xmlns="http://schemas.microsoft.com/office/spreadsheetml/2009/9/main" objectType="Drop" dropLines="20" dropStyle="combo" dx="20" fmlaLink="DD_FLU_SupMon_C_Supp8" fmlaRange="LU_FLU_RECC_PRICES_GROUP_D" noThreeD="1" sel="1" val="0"/>
</file>

<file path=xl/ctrlProps/ctrlProp813.xml><?xml version="1.0" encoding="utf-8"?>
<formControlPr xmlns="http://schemas.microsoft.com/office/spreadsheetml/2009/9/main" objectType="Drop" dropLines="20" dropStyle="combo" dx="20" fmlaLink="DD_FLU_SupMon_C_Supp9" fmlaRange="LU_FLU_RECC_PRICES_GROUP_D" noThreeD="1" sel="1" val="0"/>
</file>

<file path=xl/ctrlProps/ctrlProp814.xml><?xml version="1.0" encoding="utf-8"?>
<formControlPr xmlns="http://schemas.microsoft.com/office/spreadsheetml/2009/9/main" objectType="Drop" dropLines="20" dropStyle="combo" dx="20" fmlaLink="DD_FLU_SupMon_C_Supp10" fmlaRange="LU_FLU_RECC_PRICES_GROUP_D" noThreeD="1" sel="1" val="0"/>
</file>

<file path=xl/ctrlProps/ctrlProp815.xml><?xml version="1.0" encoding="utf-8"?>
<formControlPr xmlns="http://schemas.microsoft.com/office/spreadsheetml/2009/9/main" objectType="Drop" dropLines="20" dropStyle="combo" dx="20" fmlaLink="DD_FLU_MonEval_Activ_A_Group_D6" fmlaRange="LU_FLU_RECC_PRICES_GROUP_D" noThreeD="1" sel="1" val="0"/>
</file>

<file path=xl/ctrlProps/ctrlProp816.xml><?xml version="1.0" encoding="utf-8"?>
<formControlPr xmlns="http://schemas.microsoft.com/office/spreadsheetml/2009/9/main" objectType="Drop" dropLines="20" dropStyle="combo" dx="20" fmlaLink="DD_FLU_MonEval_Activ_A_Group_D7" fmlaRange="LU_FLU_RECC_PRICES_GROUP_D" noThreeD="1" sel="1" val="0"/>
</file>

<file path=xl/ctrlProps/ctrlProp817.xml><?xml version="1.0" encoding="utf-8"?>
<formControlPr xmlns="http://schemas.microsoft.com/office/spreadsheetml/2009/9/main" objectType="Drop" dropLines="20" dropStyle="combo" dx="20" fmlaLink="DD_FLU_MonEval_Activ_A_Group_D8" fmlaRange="LU_FLU_RECC_PRICES_GROUP_D" noThreeD="1" sel="1" val="0"/>
</file>

<file path=xl/ctrlProps/ctrlProp818.xml><?xml version="1.0" encoding="utf-8"?>
<formControlPr xmlns="http://schemas.microsoft.com/office/spreadsheetml/2009/9/main" objectType="Drop" dropLines="20" dropStyle="combo" dx="20" fmlaLink="DD_FLU_MonEval_Activ_A_Group_D9" fmlaRange="LU_FLU_RECC_PRICES_GROUP_D" noThreeD="1" sel="1" val="0"/>
</file>

<file path=xl/ctrlProps/ctrlProp819.xml><?xml version="1.0" encoding="utf-8"?>
<formControlPr xmlns="http://schemas.microsoft.com/office/spreadsheetml/2009/9/main" objectType="Drop" dropLines="20" dropStyle="combo" dx="20" fmlaLink="DD_FLU_MonEval_Activ_A_Group_D10" fmlaRange="LU_FLU_RECC_PRICES_GROUP_D" noThreeD="1" sel="1" val="0"/>
</file>

<file path=xl/ctrlProps/ctrlProp82.xml><?xml version="1.0" encoding="utf-8"?>
<formControlPr xmlns="http://schemas.microsoft.com/office/spreadsheetml/2009/9/main" objectType="Drop" dropLines="20" dropStyle="combo" dx="20" fmlaLink="DD_FLU_DETAIL_MICRO_A_3" fmlaRange="LU_FLU_RECC_PRICES_GROUP_A" noThreeD="1" sel="1" val="0"/>
</file>

<file path=xl/ctrlProps/ctrlProp820.xml><?xml version="1.0" encoding="utf-8"?>
<formControlPr xmlns="http://schemas.microsoft.com/office/spreadsheetml/2009/9/main" objectType="Drop" dropLines="20" dropStyle="combo" dx="16" fmlaLink="$I$15" fmlaRange="LU_FLU_Personnel_Unit_Cost_Categories" noThreeD="1" sel="1" val="0"/>
</file>

<file path=xl/ctrlProps/ctrlProp821.xml><?xml version="1.0" encoding="utf-8"?>
<formControlPr xmlns="http://schemas.microsoft.com/office/spreadsheetml/2009/9/main" objectType="Drop" dropLines="20" dropStyle="combo" dx="16" fmlaLink="$I$16" fmlaRange="LU_FLU_Personnel_Unit_Cost_Categories" noThreeD="1" sel="1" val="0"/>
</file>

<file path=xl/ctrlProps/ctrlProp822.xml><?xml version="1.0" encoding="utf-8"?>
<formControlPr xmlns="http://schemas.microsoft.com/office/spreadsheetml/2009/9/main" objectType="Drop" dropLines="20" dropStyle="combo" dx="16" fmlaLink="$I$17" fmlaRange="LU_FLU_Personnel_Unit_Cost_Categories" noThreeD="1" sel="1" val="0"/>
</file>

<file path=xl/ctrlProps/ctrlProp823.xml><?xml version="1.0" encoding="utf-8"?>
<formControlPr xmlns="http://schemas.microsoft.com/office/spreadsheetml/2009/9/main" objectType="Drop" dropLines="20" dropStyle="combo" dx="16" fmlaLink="$I$18" fmlaRange="LU_FLU_Personnel_Unit_Cost_Categories" noThreeD="1" sel="1" val="0"/>
</file>

<file path=xl/ctrlProps/ctrlProp824.xml><?xml version="1.0" encoding="utf-8"?>
<formControlPr xmlns="http://schemas.microsoft.com/office/spreadsheetml/2009/9/main" objectType="Drop" dropLines="20" dropStyle="combo" dx="16" fmlaLink="$I$19" fmlaRange="LU_FLU_Personnel_Unit_Cost_Categories" noThreeD="1" sel="1" val="0"/>
</file>

<file path=xl/ctrlProps/ctrlProp825.xml><?xml version="1.0" encoding="utf-8"?>
<formControlPr xmlns="http://schemas.microsoft.com/office/spreadsheetml/2009/9/main" objectType="Drop" dropLines="20" dropStyle="combo" dx="16" fmlaLink="$I$20" fmlaRange="LU_FLU_Personnel_Unit_Cost_Categories" noThreeD="1" sel="1" val="0"/>
</file>

<file path=xl/ctrlProps/ctrlProp826.xml><?xml version="1.0" encoding="utf-8"?>
<formControlPr xmlns="http://schemas.microsoft.com/office/spreadsheetml/2009/9/main" objectType="Drop" dropLines="20" dropStyle="combo" dx="16" fmlaLink="$I$21" fmlaRange="LU_FLU_Personnel_Unit_Cost_Categories" noThreeD="1" sel="1" val="0"/>
</file>

<file path=xl/ctrlProps/ctrlProp827.xml><?xml version="1.0" encoding="utf-8"?>
<formControlPr xmlns="http://schemas.microsoft.com/office/spreadsheetml/2009/9/main" objectType="Drop" dropLines="20" dropStyle="combo" dx="16" fmlaLink="$I$22" fmlaRange="LU_FLU_Personnel_Unit_Cost_Categories" noThreeD="1" sel="1" val="0"/>
</file>

<file path=xl/ctrlProps/ctrlProp828.xml><?xml version="1.0" encoding="utf-8"?>
<formControlPr xmlns="http://schemas.microsoft.com/office/spreadsheetml/2009/9/main" objectType="Drop" dropLines="20" dropStyle="combo" dx="16" fmlaLink="$I$23" fmlaRange="LU_FLU_Personnel_Unit_Cost_Categories" noThreeD="1" sel="1" val="0"/>
</file>

<file path=xl/ctrlProps/ctrlProp829.xml><?xml version="1.0" encoding="utf-8"?>
<formControlPr xmlns="http://schemas.microsoft.com/office/spreadsheetml/2009/9/main" objectType="Drop" dropLines="20" dropStyle="combo" dx="16" fmlaLink="$I$24" fmlaRange="LU_FLU_Personnel_Unit_Cost_Categories" noThreeD="1" sel="1" val="0"/>
</file>

<file path=xl/ctrlProps/ctrlProp83.xml><?xml version="1.0" encoding="utf-8"?>
<formControlPr xmlns="http://schemas.microsoft.com/office/spreadsheetml/2009/9/main" objectType="Drop" dropLines="20" dropStyle="combo" dx="20" fmlaLink="DD_FLU_DETAIL_MICRO_A_4" fmlaRange="LU_FLU_RECC_PRICES_GROUP_A" noThreeD="1" sel="1" val="0"/>
</file>

<file path=xl/ctrlProps/ctrlProp830.xml><?xml version="1.0" encoding="utf-8"?>
<formControlPr xmlns="http://schemas.microsoft.com/office/spreadsheetml/2009/9/main" objectType="Drop" dropLines="20" dropStyle="combo" dx="16" fmlaLink="$I$25" fmlaRange="LU_FLU_Personnel_Unit_Cost_Categories" noThreeD="1" sel="1" val="0"/>
</file>

<file path=xl/ctrlProps/ctrlProp831.xml><?xml version="1.0" encoding="utf-8"?>
<formControlPr xmlns="http://schemas.microsoft.com/office/spreadsheetml/2009/9/main" objectType="Drop" dropLines="20" dropStyle="combo" dx="16" fmlaLink="$I$26" fmlaRange="LU_FLU_Personnel_Unit_Cost_Categories" noThreeD="1" sel="1" val="0"/>
</file>

<file path=xl/ctrlProps/ctrlProp832.xml><?xml version="1.0" encoding="utf-8"?>
<formControlPr xmlns="http://schemas.microsoft.com/office/spreadsheetml/2009/9/main" objectType="Drop" dropLines="20" dropStyle="combo" dx="16" fmlaLink="$I$27" fmlaRange="LU_FLU_Personnel_Unit_Cost_Categories" noThreeD="1" sel="1" val="0"/>
</file>

<file path=xl/ctrlProps/ctrlProp833.xml><?xml version="1.0" encoding="utf-8"?>
<formControlPr xmlns="http://schemas.microsoft.com/office/spreadsheetml/2009/9/main" objectType="Drop" dropLines="20" dropStyle="combo" dx="16" fmlaLink="$I$28" fmlaRange="LU_FLU_Personnel_Unit_Cost_Categories" noThreeD="1" sel="1" val="0"/>
</file>

<file path=xl/ctrlProps/ctrlProp834.xml><?xml version="1.0" encoding="utf-8"?>
<formControlPr xmlns="http://schemas.microsoft.com/office/spreadsheetml/2009/9/main" objectType="Drop" dropLines="20" dropStyle="combo" dx="16" fmlaLink="$I$29" fmlaRange="LU_FLU_Personnel_Unit_Cost_Categories" noThreeD="1" sel="1" val="0"/>
</file>

<file path=xl/ctrlProps/ctrlProp835.xml><?xml version="1.0" encoding="utf-8"?>
<formControlPr xmlns="http://schemas.microsoft.com/office/spreadsheetml/2009/9/main" objectType="Drop" dropLines="20" dropStyle="combo" dx="16" fmlaLink="$D$15" fmlaRange="LU_FLU_RECC_PRICES_GROUP_A" noThreeD="1" sel="2" val="0"/>
</file>

<file path=xl/ctrlProps/ctrlProp836.xml><?xml version="1.0" encoding="utf-8"?>
<formControlPr xmlns="http://schemas.microsoft.com/office/spreadsheetml/2009/9/main" objectType="Drop" dropLines="20" dropStyle="combo" dx="16" fmlaLink="$D$16" fmlaRange="LU_FLU_RECC_PRICES_GROUP_A" noThreeD="1" sel="1" val="0"/>
</file>

<file path=xl/ctrlProps/ctrlProp837.xml><?xml version="1.0" encoding="utf-8"?>
<formControlPr xmlns="http://schemas.microsoft.com/office/spreadsheetml/2009/9/main" objectType="Drop" dropLines="20" dropStyle="combo" dx="16" fmlaLink="$D$17" fmlaRange="LU_FLU_RECC_PRICES_GROUP_A" noThreeD="1" sel="1" val="0"/>
</file>

<file path=xl/ctrlProps/ctrlProp838.xml><?xml version="1.0" encoding="utf-8"?>
<formControlPr xmlns="http://schemas.microsoft.com/office/spreadsheetml/2009/9/main" objectType="Drop" dropLines="20" dropStyle="combo" dx="16" fmlaLink="$D$18" fmlaRange="LU_FLU_RECC_PRICES_GROUP_A" noThreeD="1" sel="1" val="0"/>
</file>

<file path=xl/ctrlProps/ctrlProp839.xml><?xml version="1.0" encoding="utf-8"?>
<formControlPr xmlns="http://schemas.microsoft.com/office/spreadsheetml/2009/9/main" objectType="Drop" dropLines="20" dropStyle="combo" dx="16" fmlaLink="$D$19" fmlaRange="LU_FLU_RECC_PRICES_GROUP_A" noThreeD="1" sel="1" val="0"/>
</file>

<file path=xl/ctrlProps/ctrlProp84.xml><?xml version="1.0" encoding="utf-8"?>
<formControlPr xmlns="http://schemas.microsoft.com/office/spreadsheetml/2009/9/main" objectType="Drop" dropLines="20" dropStyle="combo" dx="20" fmlaLink="DD_FLU_DETAIL_MICRO_A_5" fmlaRange="LU_FLU_RECC_PRICES_GROUP_A" noThreeD="1" sel="1" val="0"/>
</file>

<file path=xl/ctrlProps/ctrlProp840.xml><?xml version="1.0" encoding="utf-8"?>
<formControlPr xmlns="http://schemas.microsoft.com/office/spreadsheetml/2009/9/main" objectType="Drop" dropLines="20" dropStyle="combo" dx="16" fmlaLink="$D$20" fmlaRange="LU_FLU_RECC_PRICES_GROUP_A" noThreeD="1" sel="1" val="0"/>
</file>

<file path=xl/ctrlProps/ctrlProp841.xml><?xml version="1.0" encoding="utf-8"?>
<formControlPr xmlns="http://schemas.microsoft.com/office/spreadsheetml/2009/9/main" objectType="Drop" dropLines="20" dropStyle="combo" dx="16" fmlaLink="$D$21" fmlaRange="LU_FLU_RECC_PRICES_GROUP_A" noThreeD="1" sel="1" val="0"/>
</file>

<file path=xl/ctrlProps/ctrlProp842.xml><?xml version="1.0" encoding="utf-8"?>
<formControlPr xmlns="http://schemas.microsoft.com/office/spreadsheetml/2009/9/main" objectType="Drop" dropLines="20" dropStyle="combo" dx="16" fmlaLink="$D$22" fmlaRange="LU_FLU_RECC_PRICES_GROUP_A" noThreeD="1" sel="1" val="0"/>
</file>

<file path=xl/ctrlProps/ctrlProp843.xml><?xml version="1.0" encoding="utf-8"?>
<formControlPr xmlns="http://schemas.microsoft.com/office/spreadsheetml/2009/9/main" objectType="Drop" dropLines="20" dropStyle="combo" dx="16" fmlaLink="$D$23" fmlaRange="LU_FLU_RECC_PRICES_GROUP_A" noThreeD="1" sel="1" val="0"/>
</file>

<file path=xl/ctrlProps/ctrlProp844.xml><?xml version="1.0" encoding="utf-8"?>
<formControlPr xmlns="http://schemas.microsoft.com/office/spreadsheetml/2009/9/main" objectType="Drop" dropLines="20" dropStyle="combo" dx="16" fmlaLink="$D$24" fmlaRange="LU_FLU_RECC_PRICES_GROUP_A" noThreeD="1" sel="1" val="0"/>
</file>

<file path=xl/ctrlProps/ctrlProp845.xml><?xml version="1.0" encoding="utf-8"?>
<formControlPr xmlns="http://schemas.microsoft.com/office/spreadsheetml/2009/9/main" objectType="Drop" dropLines="20" dropStyle="combo" dx="16" fmlaLink="$D$25" fmlaRange="LU_FLU_RECC_PRICES_GROUP_A" noThreeD="1" sel="1" val="0"/>
</file>

<file path=xl/ctrlProps/ctrlProp846.xml><?xml version="1.0" encoding="utf-8"?>
<formControlPr xmlns="http://schemas.microsoft.com/office/spreadsheetml/2009/9/main" objectType="Drop" dropLines="20" dropStyle="combo" dx="16" fmlaLink="$D$26" fmlaRange="LU_FLU_RECC_PRICES_GROUP_A" noThreeD="1" sel="1" val="0"/>
</file>

<file path=xl/ctrlProps/ctrlProp847.xml><?xml version="1.0" encoding="utf-8"?>
<formControlPr xmlns="http://schemas.microsoft.com/office/spreadsheetml/2009/9/main" objectType="Drop" dropLines="20" dropStyle="combo" dx="16" fmlaLink="$D$27" fmlaRange="LU_FLU_RECC_PRICES_GROUP_A" noThreeD="1" sel="1" val="0"/>
</file>

<file path=xl/ctrlProps/ctrlProp848.xml><?xml version="1.0" encoding="utf-8"?>
<formControlPr xmlns="http://schemas.microsoft.com/office/spreadsheetml/2009/9/main" objectType="Drop" dropLines="20" dropStyle="combo" dx="16" fmlaLink="$D$28" fmlaRange="LU_FLU_RECC_PRICES_GROUP_A" noThreeD="1" sel="1" val="0"/>
</file>

<file path=xl/ctrlProps/ctrlProp849.xml><?xml version="1.0" encoding="utf-8"?>
<formControlPr xmlns="http://schemas.microsoft.com/office/spreadsheetml/2009/9/main" objectType="Drop" dropLines="20" dropStyle="combo" dx="16" fmlaLink="$D$29" fmlaRange="LU_FLU_RECC_PRICES_GROUP_A" noThreeD="1" sel="1" val="0"/>
</file>

<file path=xl/ctrlProps/ctrlProp85.xml><?xml version="1.0" encoding="utf-8"?>
<formControlPr xmlns="http://schemas.microsoft.com/office/spreadsheetml/2009/9/main" objectType="Drop" dropLines="20" dropStyle="combo" dx="20" fmlaLink="DD_FLU_DETAIL_MICRO_A_6" fmlaRange="LU_FLU_RECC_PRICES_GROUP_A" noThreeD="1" sel="1" val="0"/>
</file>

<file path=xl/ctrlProps/ctrlProp850.xml><?xml version="1.0" encoding="utf-8"?>
<formControlPr xmlns="http://schemas.microsoft.com/office/spreadsheetml/2009/9/main" objectType="Drop" dropLines="20" dropStyle="combo" dx="16" fmlaLink="$I$77" fmlaRange="LU_FLU_Personnel_Unit_Cost_Categories" noThreeD="1" sel="1" val="0"/>
</file>

<file path=xl/ctrlProps/ctrlProp851.xml><?xml version="1.0" encoding="utf-8"?>
<formControlPr xmlns="http://schemas.microsoft.com/office/spreadsheetml/2009/9/main" objectType="Drop" dropLines="20" dropStyle="combo" dx="16" fmlaLink="$I$78" fmlaRange="LU_FLU_Personnel_Unit_Cost_Categories" noThreeD="1" sel="1" val="0"/>
</file>

<file path=xl/ctrlProps/ctrlProp852.xml><?xml version="1.0" encoding="utf-8"?>
<formControlPr xmlns="http://schemas.microsoft.com/office/spreadsheetml/2009/9/main" objectType="Drop" dropLines="20" dropStyle="combo" dx="16" fmlaLink="$I$79" fmlaRange="LU_FLU_Personnel_Unit_Cost_Categories" noThreeD="1" sel="1" val="0"/>
</file>

<file path=xl/ctrlProps/ctrlProp853.xml><?xml version="1.0" encoding="utf-8"?>
<formControlPr xmlns="http://schemas.microsoft.com/office/spreadsheetml/2009/9/main" objectType="Drop" dropLines="20" dropStyle="combo" dx="16" fmlaLink="$I$80" fmlaRange="LU_FLU_Personnel_Unit_Cost_Categories" noThreeD="1" sel="1" val="0"/>
</file>

<file path=xl/ctrlProps/ctrlProp854.xml><?xml version="1.0" encoding="utf-8"?>
<formControlPr xmlns="http://schemas.microsoft.com/office/spreadsheetml/2009/9/main" objectType="Drop" dropLines="20" dropStyle="combo" dx="16" fmlaLink="$I$81" fmlaRange="LU_FLU_Personnel_Unit_Cost_Categories" noThreeD="1" sel="1" val="0"/>
</file>

<file path=xl/ctrlProps/ctrlProp855.xml><?xml version="1.0" encoding="utf-8"?>
<formControlPr xmlns="http://schemas.microsoft.com/office/spreadsheetml/2009/9/main" objectType="Drop" dropLines="20" dropStyle="combo" dx="16" fmlaLink="$I$82" fmlaRange="LU_FLU_Personnel_Unit_Cost_Categories" noThreeD="1" sel="1" val="0"/>
</file>

<file path=xl/ctrlProps/ctrlProp856.xml><?xml version="1.0" encoding="utf-8"?>
<formControlPr xmlns="http://schemas.microsoft.com/office/spreadsheetml/2009/9/main" objectType="Drop" dropLines="20" dropStyle="combo" dx="16" fmlaLink="DD_FLU_MonEval_Activ_B_Group_B1" fmlaRange="LU_FLU_RECC_PRICES_GROUP_A" noThreeD="1" sel="2" val="0"/>
</file>

<file path=xl/ctrlProps/ctrlProp857.xml><?xml version="1.0" encoding="utf-8"?>
<formControlPr xmlns="http://schemas.microsoft.com/office/spreadsheetml/2009/9/main" objectType="Drop" dropLines="20" dropStyle="combo" dx="16" fmlaLink="DD_FLU_MonEval_Activ_B_Group_B2" fmlaRange="LU_FLU_RECC_PRICES_GROUP_A" noThreeD="1" sel="1" val="0"/>
</file>

<file path=xl/ctrlProps/ctrlProp858.xml><?xml version="1.0" encoding="utf-8"?>
<formControlPr xmlns="http://schemas.microsoft.com/office/spreadsheetml/2009/9/main" objectType="Drop" dropLines="20" dropStyle="combo" dx="16" fmlaLink="DD_FLU_MonEval_Activ_B_Group_B3" fmlaRange="LU_FLU_RECC_PRICES_GROUP_A" noThreeD="1" sel="1" val="0"/>
</file>

<file path=xl/ctrlProps/ctrlProp859.xml><?xml version="1.0" encoding="utf-8"?>
<formControlPr xmlns="http://schemas.microsoft.com/office/spreadsheetml/2009/9/main" objectType="Drop" dropLines="20" dropStyle="combo" dx="16" fmlaLink="DD_FLU_MonEval_Activ_B_Group_B4" fmlaRange="LU_FLU_RECC_PRICES_GROUP_A" noThreeD="1" sel="1" val="0"/>
</file>

<file path=xl/ctrlProps/ctrlProp86.xml><?xml version="1.0" encoding="utf-8"?>
<formControlPr xmlns="http://schemas.microsoft.com/office/spreadsheetml/2009/9/main" objectType="Drop" dropLines="20" dropStyle="combo" dx="20" fmlaLink="DD_FLU_DETAIL_MICRO_A_7" fmlaRange="LU_FLU_RECC_PRICES_GROUP_A" noThreeD="1" sel="1" val="0"/>
</file>

<file path=xl/ctrlProps/ctrlProp860.xml><?xml version="1.0" encoding="utf-8"?>
<formControlPr xmlns="http://schemas.microsoft.com/office/spreadsheetml/2009/9/main" objectType="Drop" dropLines="20" dropStyle="combo" dx="16" fmlaLink="DD_FLU_MonEval_Activ_B_Group_B5" fmlaRange="LU_FLU_RECC_PRICES_GROUP_A" noThreeD="1" sel="1" val="0"/>
</file>

<file path=xl/ctrlProps/ctrlProp861.xml><?xml version="1.0" encoding="utf-8"?>
<formControlPr xmlns="http://schemas.microsoft.com/office/spreadsheetml/2009/9/main" objectType="Drop" dropLines="20" dropStyle="combo" dx="16" fmlaLink="DD_FLU_MonEval_Activ_B_Group_B6" fmlaRange="LU_FLU_RECC_PRICES_GROUP_A" noThreeD="1" sel="1" val="0"/>
</file>

<file path=xl/ctrlProps/ctrlProp862.xml><?xml version="1.0" encoding="utf-8"?>
<formControlPr xmlns="http://schemas.microsoft.com/office/spreadsheetml/2009/9/main" objectType="Drop" dropLines="20" dropStyle="combo" dx="16" fmlaLink="DD_FLU_SupMon_C_Pers1" fmlaRange="LU_FLU_RECC_PRICES_GROUP_A" noThreeD="1" sel="2" val="0"/>
</file>

<file path=xl/ctrlProps/ctrlProp863.xml><?xml version="1.0" encoding="utf-8"?>
<formControlPr xmlns="http://schemas.microsoft.com/office/spreadsheetml/2009/9/main" objectType="Drop" dropLines="20" dropStyle="combo" dx="16" fmlaLink="DD_FLU_SupMon_C_Pers2" fmlaRange="LU_FLU_RECC_PRICES_GROUP_A" noThreeD="1" sel="1" val="0"/>
</file>

<file path=xl/ctrlProps/ctrlProp864.xml><?xml version="1.0" encoding="utf-8"?>
<formControlPr xmlns="http://schemas.microsoft.com/office/spreadsheetml/2009/9/main" objectType="Drop" dropLines="20" dropStyle="combo" dx="16" fmlaLink="DD_FLU_SupMon_C_Pers3" fmlaRange="LU_FLU_RECC_PRICES_GROUP_A" noThreeD="1" sel="1" val="0"/>
</file>

<file path=xl/ctrlProps/ctrlProp865.xml><?xml version="1.0" encoding="utf-8"?>
<formControlPr xmlns="http://schemas.microsoft.com/office/spreadsheetml/2009/9/main" objectType="Drop" dropLines="20" dropStyle="combo" dx="16" fmlaLink="DD_FLU_SupMon_C_Pers4" fmlaRange="LU_FLU_RECC_PRICES_GROUP_A" noThreeD="1" sel="1" val="0"/>
</file>

<file path=xl/ctrlProps/ctrlProp866.xml><?xml version="1.0" encoding="utf-8"?>
<formControlPr xmlns="http://schemas.microsoft.com/office/spreadsheetml/2009/9/main" objectType="Drop" dropLines="20" dropStyle="combo" dx="16" fmlaLink="DD_FLU_SupMon_C_Pers5" fmlaRange="LU_FLU_RECC_PRICES_GROUP_A" noThreeD="1" sel="1" val="0"/>
</file>

<file path=xl/ctrlProps/ctrlProp867.xml><?xml version="1.0" encoding="utf-8"?>
<formControlPr xmlns="http://schemas.microsoft.com/office/spreadsheetml/2009/9/main" objectType="Drop" dropLines="20" dropStyle="combo" dx="16" fmlaLink="DD_FLU_SupMon_C_Pers6" fmlaRange="LU_FLU_RECC_PRICES_GROUP_A" noThreeD="1" sel="1" val="0"/>
</file>

<file path=xl/ctrlProps/ctrlProp868.xml><?xml version="1.0" encoding="utf-8"?>
<formControlPr xmlns="http://schemas.microsoft.com/office/spreadsheetml/2009/9/main" objectType="Drop" dropLines="20" dropStyle="combo" dx="16" fmlaLink="$I$130" fmlaRange="LU_FLU_Personnel_Unit_Cost_Categories" noThreeD="1" sel="1" val="0"/>
</file>

<file path=xl/ctrlProps/ctrlProp869.xml><?xml version="1.0" encoding="utf-8"?>
<formControlPr xmlns="http://schemas.microsoft.com/office/spreadsheetml/2009/9/main" objectType="Drop" dropLines="20" dropStyle="combo" dx="16" fmlaLink="$I$131" fmlaRange="LU_FLU_Personnel_Unit_Cost_Categories" noThreeD="1" sel="1" val="0"/>
</file>

<file path=xl/ctrlProps/ctrlProp87.xml><?xml version="1.0" encoding="utf-8"?>
<formControlPr xmlns="http://schemas.microsoft.com/office/spreadsheetml/2009/9/main" objectType="Drop" dropLines="20" dropStyle="combo" dx="20" fmlaLink="DD_FLU_DETAIL_MICRO_A_8" fmlaRange="LU_FLU_RECC_PRICES_GROUP_A" noThreeD="1" sel="1" val="0"/>
</file>

<file path=xl/ctrlProps/ctrlProp870.xml><?xml version="1.0" encoding="utf-8"?>
<formControlPr xmlns="http://schemas.microsoft.com/office/spreadsheetml/2009/9/main" objectType="Drop" dropLines="20" dropStyle="combo" dx="16" fmlaLink="$I$132" fmlaRange="LU_FLU_Personnel_Unit_Cost_Categories" noThreeD="1" sel="1" val="0"/>
</file>

<file path=xl/ctrlProps/ctrlProp871.xml><?xml version="1.0" encoding="utf-8"?>
<formControlPr xmlns="http://schemas.microsoft.com/office/spreadsheetml/2009/9/main" objectType="Drop" dropLines="20" dropStyle="combo" dx="16" fmlaLink="$I$133" fmlaRange="LU_FLU_Personnel_Unit_Cost_Categories" noThreeD="1" sel="1" val="0"/>
</file>

<file path=xl/ctrlProps/ctrlProp872.xml><?xml version="1.0" encoding="utf-8"?>
<formControlPr xmlns="http://schemas.microsoft.com/office/spreadsheetml/2009/9/main" objectType="Drop" dropLines="20" dropStyle="combo" dx="16" fmlaLink="$I$134" fmlaRange="LU_FLU_Personnel_Unit_Cost_Categories" noThreeD="1" sel="1" val="0"/>
</file>

<file path=xl/ctrlProps/ctrlProp873.xml><?xml version="1.0" encoding="utf-8"?>
<formControlPr xmlns="http://schemas.microsoft.com/office/spreadsheetml/2009/9/main" objectType="Drop" dropLines="20" dropStyle="combo" dx="16" fmlaLink="$I$135" fmlaRange="LU_FLU_Personnel_Unit_Cost_Categories" noThreeD="1" sel="1" val="0"/>
</file>

<file path=xl/ctrlProps/ctrlProp874.xml><?xml version="1.0" encoding="utf-8"?>
<formControlPr xmlns="http://schemas.microsoft.com/office/spreadsheetml/2009/9/main" objectType="Drop" dropLines="20" dropStyle="combo" dx="20" fmlaLink="$D$14" fmlaRange="LU_FLU_RECC_PRICES_GROUP_A" noThreeD="1" sel="19" val="4"/>
</file>

<file path=xl/ctrlProps/ctrlProp875.xml><?xml version="1.0" encoding="utf-8"?>
<formControlPr xmlns="http://schemas.microsoft.com/office/spreadsheetml/2009/9/main" objectType="Drop" dropLines="20" dropStyle="combo" dx="20" fmlaLink="$D$15" fmlaRange="LU_FLU_RECC_PRICES_GROUP_A" noThreeD="1" sel="19" val="5"/>
</file>

<file path=xl/ctrlProps/ctrlProp876.xml><?xml version="1.0" encoding="utf-8"?>
<formControlPr xmlns="http://schemas.microsoft.com/office/spreadsheetml/2009/9/main" objectType="Drop" dropLines="20" dropStyle="combo" dx="20" fmlaLink="$D$16" fmlaRange="LU_FLU_RECC_PRICES_GROUP_A" noThreeD="1" sel="1" val="0"/>
</file>

<file path=xl/ctrlProps/ctrlProp877.xml><?xml version="1.0" encoding="utf-8"?>
<formControlPr xmlns="http://schemas.microsoft.com/office/spreadsheetml/2009/9/main" objectType="Drop" dropLines="20" dropStyle="combo" dx="20" fmlaLink="$D$17" fmlaRange="LU_FLU_RECC_PRICES_GROUP_A" noThreeD="1" sel="1" val="0"/>
</file>

<file path=xl/ctrlProps/ctrlProp878.xml><?xml version="1.0" encoding="utf-8"?>
<formControlPr xmlns="http://schemas.microsoft.com/office/spreadsheetml/2009/9/main" objectType="Drop" dropLines="20" dropStyle="combo" dx="20" fmlaLink="$D$18" fmlaRange="LU_FLU_RECC_PRICES_GROUP_A" noThreeD="1" sel="1" val="0"/>
</file>

<file path=xl/ctrlProps/ctrlProp879.xml><?xml version="1.0" encoding="utf-8"?>
<formControlPr xmlns="http://schemas.microsoft.com/office/spreadsheetml/2009/9/main" objectType="Drop" dropLines="20" dropStyle="combo" dx="20" fmlaLink="$D$19" fmlaRange="LU_FLU_RECC_PRICES_GROUP_A" noThreeD="1" sel="1" val="0"/>
</file>

<file path=xl/ctrlProps/ctrlProp88.xml><?xml version="1.0" encoding="utf-8"?>
<formControlPr xmlns="http://schemas.microsoft.com/office/spreadsheetml/2009/9/main" objectType="Drop" dropLines="20" dropStyle="combo" dx="20" fmlaLink="DD_FLU_DETAIL_MICRO_A_9" fmlaRange="LU_FLU_RECC_PRICES_GROUP_A" noThreeD="1" sel="1" val="0"/>
</file>

<file path=xl/ctrlProps/ctrlProp880.xml><?xml version="1.0" encoding="utf-8"?>
<formControlPr xmlns="http://schemas.microsoft.com/office/spreadsheetml/2009/9/main" objectType="Drop" dropLines="20" dropStyle="combo" dx="20" fmlaLink="$D$20" fmlaRange="LU_FLU_RECC_PRICES_GROUP_A" noThreeD="1" sel="1" val="0"/>
</file>

<file path=xl/ctrlProps/ctrlProp881.xml><?xml version="1.0" encoding="utf-8"?>
<formControlPr xmlns="http://schemas.microsoft.com/office/spreadsheetml/2009/9/main" objectType="Drop" dropLines="20" dropStyle="combo" dx="20" fmlaLink="$D$21" fmlaRange="LU_FLU_RECC_PRICES_GROUP_A" noThreeD="1" sel="1" val="0"/>
</file>

<file path=xl/ctrlProps/ctrlProp882.xml><?xml version="1.0" encoding="utf-8"?>
<formControlPr xmlns="http://schemas.microsoft.com/office/spreadsheetml/2009/9/main" objectType="Drop" dropLines="20" dropStyle="combo" dx="20" fmlaLink="$D$22" fmlaRange="LU_FLU_RECC_PRICES_GROUP_A" noThreeD="1" sel="1" val="0"/>
</file>

<file path=xl/ctrlProps/ctrlProp883.xml><?xml version="1.0" encoding="utf-8"?>
<formControlPr xmlns="http://schemas.microsoft.com/office/spreadsheetml/2009/9/main" objectType="Drop" dropLines="20" dropStyle="combo" dx="20" fmlaLink="$D$23" fmlaRange="LU_FLU_RECC_PRICES_GROUP_A" noThreeD="1" sel="1" val="0"/>
</file>

<file path=xl/ctrlProps/ctrlProp884.xml><?xml version="1.0" encoding="utf-8"?>
<formControlPr xmlns="http://schemas.microsoft.com/office/spreadsheetml/2009/9/main" objectType="Drop" dropLines="20" dropStyle="combo" dx="20" fmlaLink="$D$24" fmlaRange="LU_FLU_RECC_PRICES_GROUP_A" noThreeD="1" sel="1" val="0"/>
</file>

<file path=xl/ctrlProps/ctrlProp885.xml><?xml version="1.0" encoding="utf-8"?>
<formControlPr xmlns="http://schemas.microsoft.com/office/spreadsheetml/2009/9/main" objectType="Drop" dropLines="20" dropStyle="combo" dx="20" fmlaLink="$D$25" fmlaRange="LU_FLU_RECC_PRICES_GROUP_A" noThreeD="1" sel="1" val="0"/>
</file>

<file path=xl/ctrlProps/ctrlProp886.xml><?xml version="1.0" encoding="utf-8"?>
<formControlPr xmlns="http://schemas.microsoft.com/office/spreadsheetml/2009/9/main" objectType="Drop" dropLines="20" dropStyle="combo" dx="20" fmlaLink="$D$26" fmlaRange="LU_FLU_RECC_PRICES_GROUP_A" noThreeD="1" sel="1" val="0"/>
</file>

<file path=xl/ctrlProps/ctrlProp887.xml><?xml version="1.0" encoding="utf-8"?>
<formControlPr xmlns="http://schemas.microsoft.com/office/spreadsheetml/2009/9/main" objectType="Drop" dropLines="20" dropStyle="combo" dx="20" fmlaLink="$D$27" fmlaRange="LU_FLU_RECC_PRICES_GROUP_A" noThreeD="1" sel="1" val="0"/>
</file>

<file path=xl/ctrlProps/ctrlProp888.xml><?xml version="1.0" encoding="utf-8"?>
<formControlPr xmlns="http://schemas.microsoft.com/office/spreadsheetml/2009/9/main" objectType="Drop" dropLines="20" dropStyle="combo" dx="20" fmlaLink="$D$52" fmlaRange="LU_FLU_RECC_PRICES_GROUP_D" noThreeD="1" sel="8" val="0"/>
</file>

<file path=xl/ctrlProps/ctrlProp889.xml><?xml version="1.0" encoding="utf-8"?>
<formControlPr xmlns="http://schemas.microsoft.com/office/spreadsheetml/2009/9/main" objectType="Drop" dropLines="20" dropStyle="combo" dx="20" fmlaLink="$D$53" fmlaRange="LU_FLU_RECC_PRICES_GROUP_D" noThreeD="1" sel="1" val="0"/>
</file>

<file path=xl/ctrlProps/ctrlProp89.xml><?xml version="1.0" encoding="utf-8"?>
<formControlPr xmlns="http://schemas.microsoft.com/office/spreadsheetml/2009/9/main" objectType="Drop" dropLines="20" dropStyle="combo" dx="20" fmlaLink="DD_FLU_DETAIL_MICRO_A_10" fmlaRange="LU_FLU_RECC_PRICES_GROUP_A" noThreeD="1" sel="1" val="0"/>
</file>

<file path=xl/ctrlProps/ctrlProp890.xml><?xml version="1.0" encoding="utf-8"?>
<formControlPr xmlns="http://schemas.microsoft.com/office/spreadsheetml/2009/9/main" objectType="Drop" dropLines="20" dropStyle="combo" dx="20" fmlaLink="$D$54" fmlaRange="LU_FLU_RECC_PRICES_GROUP_D" noThreeD="1" sel="1" val="0"/>
</file>

<file path=xl/ctrlProps/ctrlProp891.xml><?xml version="1.0" encoding="utf-8"?>
<formControlPr xmlns="http://schemas.microsoft.com/office/spreadsheetml/2009/9/main" objectType="Drop" dropLines="20" dropStyle="combo" dx="20" fmlaLink="$D$55" fmlaRange="LU_FLU_RECC_PRICES_GROUP_D" noThreeD="1" sel="1" val="0"/>
</file>

<file path=xl/ctrlProps/ctrlProp892.xml><?xml version="1.0" encoding="utf-8"?>
<formControlPr xmlns="http://schemas.microsoft.com/office/spreadsheetml/2009/9/main" objectType="Drop" dropLines="20" dropStyle="combo" dx="20" fmlaLink="$D$56" fmlaRange="LU_FLU_RECC_PRICES_GROUP_D" noThreeD="1" sel="1" val="0"/>
</file>

<file path=xl/ctrlProps/ctrlProp893.xml><?xml version="1.0" encoding="utf-8"?>
<formControlPr xmlns="http://schemas.microsoft.com/office/spreadsheetml/2009/9/main" objectType="Drop" dropLines="20" dropStyle="combo" dx="20" fmlaLink="$D$57" fmlaRange="LU_FLU_RECC_PRICES_GROUP_D" noThreeD="1" sel="1" val="0"/>
</file>

<file path=xl/ctrlProps/ctrlProp894.xml><?xml version="1.0" encoding="utf-8"?>
<formControlPr xmlns="http://schemas.microsoft.com/office/spreadsheetml/2009/9/main" objectType="Drop" dropLines="20" dropStyle="combo" dx="20" fmlaLink="$D$58" fmlaRange="LU_FLU_RECC_PRICES_GROUP_D" noThreeD="1" sel="1" val="0"/>
</file>

<file path=xl/ctrlProps/ctrlProp895.xml><?xml version="1.0" encoding="utf-8"?>
<formControlPr xmlns="http://schemas.microsoft.com/office/spreadsheetml/2009/9/main" objectType="Drop" dropLines="20" dropStyle="combo" dx="20" fmlaLink="$D$59" fmlaRange="LU_FLU_RECC_PRICES_GROUP_D" noThreeD="1" sel="1" val="0"/>
</file>

<file path=xl/ctrlProps/ctrlProp896.xml><?xml version="1.0" encoding="utf-8"?>
<formControlPr xmlns="http://schemas.microsoft.com/office/spreadsheetml/2009/9/main" objectType="Drop" dropLines="20" dropStyle="combo" dx="20" fmlaLink="$D$60" fmlaRange="LU_FLU_RECC_PRICES_GROUP_D" noThreeD="1" sel="1" val="0"/>
</file>

<file path=xl/ctrlProps/ctrlProp897.xml><?xml version="1.0" encoding="utf-8"?>
<formControlPr xmlns="http://schemas.microsoft.com/office/spreadsheetml/2009/9/main" objectType="Drop" dropLines="20" dropStyle="combo" dx="20" fmlaLink="$D$61" fmlaRange="LU_FLU_RECC_PRICES_GROUP_D" noThreeD="1" sel="1" val="0"/>
</file>

<file path=xl/ctrlProps/ctrlProp898.xml><?xml version="1.0" encoding="utf-8"?>
<formControlPr xmlns="http://schemas.microsoft.com/office/spreadsheetml/2009/9/main" objectType="Drop" dropLines="20" dropStyle="combo" dx="20" fmlaLink="$D$62" fmlaRange="LU_FLU_RECC_PRICES_GROUP_D" noThreeD="1" sel="1" val="0"/>
</file>

<file path=xl/ctrlProps/ctrlProp899.xml><?xml version="1.0" encoding="utf-8"?>
<formControlPr xmlns="http://schemas.microsoft.com/office/spreadsheetml/2009/9/main" objectType="Drop" dropLines="20" dropStyle="combo" dx="20" fmlaLink="$D$63" fmlaRange="LU_FLU_RECC_PRICES_GROUP_D" noThreeD="1" sel="1" val="0"/>
</file>

<file path=xl/ctrlProps/ctrlProp9.xml><?xml version="1.0" encoding="utf-8"?>
<formControlPr xmlns="http://schemas.microsoft.com/office/spreadsheetml/2009/9/main" objectType="Drop" dropLines="20" dropStyle="combo" dx="20" fmlaLink="DD_FLU_MICRO_B_CURRENCY" fmlaRange="LU_FLU_Curr_Code" noThreeD="1" sel="2" val="0"/>
</file>

<file path=xl/ctrlProps/ctrlProp90.xml><?xml version="1.0" encoding="utf-8"?>
<formControlPr xmlns="http://schemas.microsoft.com/office/spreadsheetml/2009/9/main" objectType="Drop" dropLines="20" dropStyle="combo" dx="20" fmlaLink="DD_FLU_DETAIL_MICRO_A_11" fmlaRange="LU_FLU_RECC_PRICES_GROUP_A" noThreeD="1" sel="1" val="0"/>
</file>

<file path=xl/ctrlProps/ctrlProp900.xml><?xml version="1.0" encoding="utf-8"?>
<formControlPr xmlns="http://schemas.microsoft.com/office/spreadsheetml/2009/9/main" objectType="Drop" dropLines="20" dropStyle="combo" dx="20" fmlaLink="$D$64" fmlaRange="LU_FLU_RECC_PRICES_GROUP_D" noThreeD="1" sel="1" val="0"/>
</file>

<file path=xl/ctrlProps/ctrlProp901.xml><?xml version="1.0" encoding="utf-8"?>
<formControlPr xmlns="http://schemas.microsoft.com/office/spreadsheetml/2009/9/main" objectType="Drop" dropLines="20" dropStyle="combo" dx="20" fmlaLink="$D$65" fmlaRange="LU_FLU_RECC_PRICES_GROUP_D" noThreeD="1" sel="1" val="0"/>
</file>

<file path=xl/ctrlProps/ctrlProp902.xml><?xml version="1.0" encoding="utf-8"?>
<formControlPr xmlns="http://schemas.microsoft.com/office/spreadsheetml/2009/9/main" objectType="Drop" dropLines="20" dropStyle="combo" dx="20" fmlaLink="$D$33" fmlaRange="LU_FLU_RECC_PRICES_GROUP_C" noThreeD="1" sel="1" val="0"/>
</file>

<file path=xl/ctrlProps/ctrlProp903.xml><?xml version="1.0" encoding="utf-8"?>
<formControlPr xmlns="http://schemas.microsoft.com/office/spreadsheetml/2009/9/main" objectType="Drop" dropLines="20" dropStyle="combo" dx="20" fmlaLink="$D$34" fmlaRange="LU_FLU_RECC_PRICES_GROUP_C" noThreeD="1" sel="1" val="0"/>
</file>

<file path=xl/ctrlProps/ctrlProp904.xml><?xml version="1.0" encoding="utf-8"?>
<formControlPr xmlns="http://schemas.microsoft.com/office/spreadsheetml/2009/9/main" objectType="Drop" dropLines="20" dropStyle="combo" dx="20" fmlaLink="$D$35" fmlaRange="LU_FLU_RECC_PRICES_GROUP_C" noThreeD="1" sel="1" val="0"/>
</file>

<file path=xl/ctrlProps/ctrlProp905.xml><?xml version="1.0" encoding="utf-8"?>
<formControlPr xmlns="http://schemas.microsoft.com/office/spreadsheetml/2009/9/main" objectType="Drop" dropLines="20" dropStyle="combo" dx="20" fmlaLink="$D$36" fmlaRange="LU_FLU_RECC_PRICES_GROUP_C" noThreeD="1" sel="1" val="0"/>
</file>

<file path=xl/ctrlProps/ctrlProp906.xml><?xml version="1.0" encoding="utf-8"?>
<formControlPr xmlns="http://schemas.microsoft.com/office/spreadsheetml/2009/9/main" objectType="Drop" dropLines="20" dropStyle="combo" dx="20" fmlaLink="$D$37" fmlaRange="LU_FLU_RECC_PRICES_GROUP_C" noThreeD="1" sel="1" val="0"/>
</file>

<file path=xl/ctrlProps/ctrlProp907.xml><?xml version="1.0" encoding="utf-8"?>
<formControlPr xmlns="http://schemas.microsoft.com/office/spreadsheetml/2009/9/main" objectType="Drop" dropLines="20" dropStyle="combo" dx="20" fmlaLink="$D$38" fmlaRange="LU_FLU_RECC_PRICES_GROUP_C" noThreeD="1" sel="1" val="0"/>
</file>

<file path=xl/ctrlProps/ctrlProp908.xml><?xml version="1.0" encoding="utf-8"?>
<formControlPr xmlns="http://schemas.microsoft.com/office/spreadsheetml/2009/9/main" objectType="Drop" dropLines="20" dropStyle="combo" dx="20" fmlaLink="$D$39" fmlaRange="LU_FLU_RECC_PRICES_GROUP_C" noThreeD="1" sel="1" val="0"/>
</file>

<file path=xl/ctrlProps/ctrlProp909.xml><?xml version="1.0" encoding="utf-8"?>
<formControlPr xmlns="http://schemas.microsoft.com/office/spreadsheetml/2009/9/main" objectType="Drop" dropLines="20" dropStyle="combo" dx="20" fmlaLink="$D$40" fmlaRange="LU_FLU_RECC_PRICES_GROUP_C" noThreeD="1" sel="1" val="0"/>
</file>

<file path=xl/ctrlProps/ctrlProp91.xml><?xml version="1.0" encoding="utf-8"?>
<formControlPr xmlns="http://schemas.microsoft.com/office/spreadsheetml/2009/9/main" objectType="Drop" dropLines="20" dropStyle="combo" dx="20" fmlaLink="DD_FLU_DETAIL_MICRO_A_12" fmlaRange="LU_FLU_RECC_PRICES_GROUP_A" noThreeD="1" sel="1" val="0"/>
</file>

<file path=xl/ctrlProps/ctrlProp910.xml><?xml version="1.0" encoding="utf-8"?>
<formControlPr xmlns="http://schemas.microsoft.com/office/spreadsheetml/2009/9/main" objectType="Drop" dropLines="20" dropStyle="combo" dx="20" fmlaLink="$D$41" fmlaRange="LU_FLU_RECC_PRICES_GROUP_C" noThreeD="1" sel="1" val="0"/>
</file>

<file path=xl/ctrlProps/ctrlProp911.xml><?xml version="1.0" encoding="utf-8"?>
<formControlPr xmlns="http://schemas.microsoft.com/office/spreadsheetml/2009/9/main" objectType="Drop" dropLines="20" dropStyle="combo" dx="20" fmlaLink="$D$42" fmlaRange="LU_FLU_RECC_PRICES_GROUP_C" noThreeD="1" sel="1" val="0"/>
</file>

<file path=xl/ctrlProps/ctrlProp912.xml><?xml version="1.0" encoding="utf-8"?>
<formControlPr xmlns="http://schemas.microsoft.com/office/spreadsheetml/2009/9/main" objectType="Drop" dropLines="20" dropStyle="combo" dx="20" fmlaLink="$D$43" fmlaRange="LU_FLU_RECC_PRICES_GROUP_C" noThreeD="1" sel="1" val="0"/>
</file>

<file path=xl/ctrlProps/ctrlProp913.xml><?xml version="1.0" encoding="utf-8"?>
<formControlPr xmlns="http://schemas.microsoft.com/office/spreadsheetml/2009/9/main" objectType="Drop" dropLines="20" dropStyle="combo" dx="20" fmlaLink="$D$44" fmlaRange="LU_FLU_RECC_PRICES_GROUP_C" noThreeD="1" sel="1" val="0"/>
</file>

<file path=xl/ctrlProps/ctrlProp914.xml><?xml version="1.0" encoding="utf-8"?>
<formControlPr xmlns="http://schemas.microsoft.com/office/spreadsheetml/2009/9/main" objectType="Drop" dropLines="20" dropStyle="combo" dx="20" fmlaLink="$D$45" fmlaRange="LU_FLU_RECC_PRICES_GROUP_C" noThreeD="1" sel="1" val="0"/>
</file>

<file path=xl/ctrlProps/ctrlProp915.xml><?xml version="1.0" encoding="utf-8"?>
<formControlPr xmlns="http://schemas.microsoft.com/office/spreadsheetml/2009/9/main" objectType="Drop" dropLines="20" dropStyle="combo" dx="20" fmlaLink="$D$46" fmlaRange="LU_FLU_RECC_PRICES_GROUP_C" noThreeD="1" sel="1" val="0"/>
</file>

<file path=xl/ctrlProps/ctrlProp916.xml><?xml version="1.0" encoding="utf-8"?>
<formControlPr xmlns="http://schemas.microsoft.com/office/spreadsheetml/2009/9/main" objectType="Drop" dropLines="20" dropStyle="combo" dx="20" fmlaLink="$D$71" fmlaRange="LU_FLU_RECC_PRICES_GROUP_E" noThreeD="1" sel="1" val="0"/>
</file>

<file path=xl/ctrlProps/ctrlProp917.xml><?xml version="1.0" encoding="utf-8"?>
<formControlPr xmlns="http://schemas.microsoft.com/office/spreadsheetml/2009/9/main" objectType="Drop" dropLines="20" dropStyle="combo" dx="20" fmlaLink="$D$72" fmlaRange="LU_FLU_RECC_PRICES_GROUP_E" noThreeD="1" sel="1" val="0"/>
</file>

<file path=xl/ctrlProps/ctrlProp918.xml><?xml version="1.0" encoding="utf-8"?>
<formControlPr xmlns="http://schemas.microsoft.com/office/spreadsheetml/2009/9/main" objectType="Drop" dropLines="20" dropStyle="combo" dx="20" fmlaLink="$D$73" fmlaRange="LU_FLU_RECC_PRICES_GROUP_E" noThreeD="1" sel="1" val="0"/>
</file>

<file path=xl/ctrlProps/ctrlProp919.xml><?xml version="1.0" encoding="utf-8"?>
<formControlPr xmlns="http://schemas.microsoft.com/office/spreadsheetml/2009/9/main" objectType="Drop" dropLines="20" dropStyle="combo" dx="20" fmlaLink="$D$74" fmlaRange="LU_FLU_RECC_PRICES_GROUP_E" noThreeD="1" sel="1" val="0"/>
</file>

<file path=xl/ctrlProps/ctrlProp92.xml><?xml version="1.0" encoding="utf-8"?>
<formControlPr xmlns="http://schemas.microsoft.com/office/spreadsheetml/2009/9/main" objectType="Drop" dropLines="20" dropStyle="combo" dx="20" fmlaLink="DD_FLU_DETAIL_MICRO_A_13" fmlaRange="LU_FLU_RECC_PRICES_GROUP_A" noThreeD="1" sel="1" val="0"/>
</file>

<file path=xl/ctrlProps/ctrlProp920.xml><?xml version="1.0" encoding="utf-8"?>
<formControlPr xmlns="http://schemas.microsoft.com/office/spreadsheetml/2009/9/main" objectType="Drop" dropLines="20" dropStyle="combo" dx="20" fmlaLink="$D$75" fmlaRange="LU_FLU_RECC_PRICES_GROUP_E" noThreeD="1" sel="1" val="0"/>
</file>

<file path=xl/ctrlProps/ctrlProp921.xml><?xml version="1.0" encoding="utf-8"?>
<formControlPr xmlns="http://schemas.microsoft.com/office/spreadsheetml/2009/9/main" objectType="Drop" dropLines="20" dropStyle="combo" dx="20" fmlaLink="$D$76" fmlaRange="LU_FLU_RECC_PRICES_GROUP_E" noThreeD="1" sel="1" val="0"/>
</file>

<file path=xl/ctrlProps/ctrlProp922.xml><?xml version="1.0" encoding="utf-8"?>
<formControlPr xmlns="http://schemas.microsoft.com/office/spreadsheetml/2009/9/main" objectType="Drop" dropLines="20" dropStyle="combo" dx="20" fmlaLink="$D$77" fmlaRange="LU_FLU_RECC_PRICES_GROUP_E" noThreeD="1" sel="1" val="0"/>
</file>

<file path=xl/ctrlProps/ctrlProp923.xml><?xml version="1.0" encoding="utf-8"?>
<formControlPr xmlns="http://schemas.microsoft.com/office/spreadsheetml/2009/9/main" objectType="Drop" dropLines="20" dropStyle="combo" dx="20" fmlaLink="$D$78" fmlaRange="LU_FLU_RECC_PRICES_GROUP_E" noThreeD="1" sel="1" val="0"/>
</file>

<file path=xl/ctrlProps/ctrlProp924.xml><?xml version="1.0" encoding="utf-8"?>
<formControlPr xmlns="http://schemas.microsoft.com/office/spreadsheetml/2009/9/main" objectType="Drop" dropLines="20" dropStyle="combo" dx="20" fmlaLink="$D$79" fmlaRange="LU_FLU_RECC_PRICES_GROUP_E" noThreeD="1" sel="1" val="0"/>
</file>

<file path=xl/ctrlProps/ctrlProp925.xml><?xml version="1.0" encoding="utf-8"?>
<formControlPr xmlns="http://schemas.microsoft.com/office/spreadsheetml/2009/9/main" objectType="Drop" dropLines="20" dropStyle="combo" dx="20" fmlaLink="$D$80" fmlaRange="LU_FLU_RECC_PRICES_GROUP_E" noThreeD="1" sel="1" val="0"/>
</file>

<file path=xl/ctrlProps/ctrlProp926.xml><?xml version="1.0" encoding="utf-8"?>
<formControlPr xmlns="http://schemas.microsoft.com/office/spreadsheetml/2009/9/main" objectType="Drop" dropLines="20" dropStyle="combo" dx="20" fmlaLink="$D$81" fmlaRange="LU_FLU_RECC_PRICES_GROUP_E" noThreeD="1" sel="1" val="0"/>
</file>

<file path=xl/ctrlProps/ctrlProp927.xml><?xml version="1.0" encoding="utf-8"?>
<formControlPr xmlns="http://schemas.microsoft.com/office/spreadsheetml/2009/9/main" objectType="Drop" dropLines="20" dropStyle="combo" dx="20" fmlaLink="$D$82" fmlaRange="LU_FLU_RECC_PRICES_GROUP_E" noThreeD="1" sel="1" val="0"/>
</file>

<file path=xl/ctrlProps/ctrlProp928.xml><?xml version="1.0" encoding="utf-8"?>
<formControlPr xmlns="http://schemas.microsoft.com/office/spreadsheetml/2009/9/main" objectType="Drop" dropLines="20" dropStyle="combo" dx="20" fmlaLink="$D$83" fmlaRange="LU_FLU_RECC_PRICES_GROUP_E" noThreeD="1" sel="1" val="0"/>
</file>

<file path=xl/ctrlProps/ctrlProp929.xml><?xml version="1.0" encoding="utf-8"?>
<formControlPr xmlns="http://schemas.microsoft.com/office/spreadsheetml/2009/9/main" objectType="Drop" dropLines="20" dropStyle="combo" dx="20" fmlaLink="$D$84" fmlaRange="LU_FLU_RECC_PRICES_GROUP_E" noThreeD="1" sel="1" val="0"/>
</file>

<file path=xl/ctrlProps/ctrlProp93.xml><?xml version="1.0" encoding="utf-8"?>
<formControlPr xmlns="http://schemas.microsoft.com/office/spreadsheetml/2009/9/main" objectType="Drop" dropLines="20" dropStyle="combo" dx="20" fmlaLink="DD_FLU_DETAIL_MICRO_A_14" fmlaRange="LU_FLU_RECC_PRICES_GROUP_A" noThreeD="1" sel="1" val="0"/>
</file>

<file path=xl/ctrlProps/ctrlProp930.xml><?xml version="1.0" encoding="utf-8"?>
<formControlPr xmlns="http://schemas.microsoft.com/office/spreadsheetml/2009/9/main" objectType="Drop" dropLines="20" dropStyle="combo" dx="20" fmlaLink="$I$14" fmlaRange="LU_FLU_Personnel_Unit_Cost_Categories" noThreeD="1" sel="3" val="0"/>
</file>

<file path=xl/ctrlProps/ctrlProp931.xml><?xml version="1.0" encoding="utf-8"?>
<formControlPr xmlns="http://schemas.microsoft.com/office/spreadsheetml/2009/9/main" objectType="Drop" dropLines="20" dropStyle="combo" dx="20" fmlaLink="$I$15" fmlaRange="LU_FLU_Personnel_Unit_Cost_Categories" noThreeD="1" sel="3" val="0"/>
</file>

<file path=xl/ctrlProps/ctrlProp932.xml><?xml version="1.0" encoding="utf-8"?>
<formControlPr xmlns="http://schemas.microsoft.com/office/spreadsheetml/2009/9/main" objectType="Drop" dropLines="20" dropStyle="combo" dx="20" fmlaLink="$I$16" fmlaRange="LU_FLU_Personnel_Unit_Cost_Categories" noThreeD="1" sel="3" val="0"/>
</file>

<file path=xl/ctrlProps/ctrlProp933.xml><?xml version="1.0" encoding="utf-8"?>
<formControlPr xmlns="http://schemas.microsoft.com/office/spreadsheetml/2009/9/main" objectType="Drop" dropLines="20" dropStyle="combo" dx="20" fmlaLink="$I$17" fmlaRange="LU_FLU_Personnel_Unit_Cost_Categories" noThreeD="1" sel="3" val="0"/>
</file>

<file path=xl/ctrlProps/ctrlProp934.xml><?xml version="1.0" encoding="utf-8"?>
<formControlPr xmlns="http://schemas.microsoft.com/office/spreadsheetml/2009/9/main" objectType="Drop" dropLines="20" dropStyle="combo" dx="20" fmlaLink="$I$18" fmlaRange="LU_FLU_Personnel_Unit_Cost_Categories" noThreeD="1" sel="3" val="0"/>
</file>

<file path=xl/ctrlProps/ctrlProp935.xml><?xml version="1.0" encoding="utf-8"?>
<formControlPr xmlns="http://schemas.microsoft.com/office/spreadsheetml/2009/9/main" objectType="Drop" dropLines="20" dropStyle="combo" dx="20" fmlaLink="$I$19" fmlaRange="LU_FLU_Personnel_Unit_Cost_Categories" noThreeD="1" sel="3" val="0"/>
</file>

<file path=xl/ctrlProps/ctrlProp936.xml><?xml version="1.0" encoding="utf-8"?>
<formControlPr xmlns="http://schemas.microsoft.com/office/spreadsheetml/2009/9/main" objectType="Drop" dropLines="20" dropStyle="combo" dx="20" fmlaLink="$I$20" fmlaRange="LU_FLU_Personnel_Unit_Cost_Categories" noThreeD="1" sel="3" val="0"/>
</file>

<file path=xl/ctrlProps/ctrlProp937.xml><?xml version="1.0" encoding="utf-8"?>
<formControlPr xmlns="http://schemas.microsoft.com/office/spreadsheetml/2009/9/main" objectType="Drop" dropLines="20" dropStyle="combo" dx="20" fmlaLink="$I$21" fmlaRange="LU_FLU_Personnel_Unit_Cost_Categories" noThreeD="1" sel="1" val="0"/>
</file>

<file path=xl/ctrlProps/ctrlProp938.xml><?xml version="1.0" encoding="utf-8"?>
<formControlPr xmlns="http://schemas.microsoft.com/office/spreadsheetml/2009/9/main" objectType="Drop" dropLines="20" dropStyle="combo" dx="20" fmlaLink="$I$22" fmlaRange="LU_FLU_Personnel_Unit_Cost_Categories" noThreeD="1" sel="1" val="0"/>
</file>

<file path=xl/ctrlProps/ctrlProp939.xml><?xml version="1.0" encoding="utf-8"?>
<formControlPr xmlns="http://schemas.microsoft.com/office/spreadsheetml/2009/9/main" objectType="Drop" dropLines="20" dropStyle="combo" dx="20" fmlaLink="$I$23" fmlaRange="LU_FLU_Personnel_Unit_Cost_Categories" noThreeD="1" sel="1" val="0"/>
</file>

<file path=xl/ctrlProps/ctrlProp94.xml><?xml version="1.0" encoding="utf-8"?>
<formControlPr xmlns="http://schemas.microsoft.com/office/spreadsheetml/2009/9/main" objectType="Drop" dropLines="20" dropStyle="combo" dx="20" fmlaLink="DD_FLU_Micro_Pers_Time_Unit_1" fmlaRange="LU_FLU_Personnel_Unit_Cost_Categories" noThreeD="1" sel="1" val="0"/>
</file>

<file path=xl/ctrlProps/ctrlProp940.xml><?xml version="1.0" encoding="utf-8"?>
<formControlPr xmlns="http://schemas.microsoft.com/office/spreadsheetml/2009/9/main" objectType="Drop" dropLines="20" dropStyle="combo" dx="20" fmlaLink="$I$24" fmlaRange="LU_FLU_Personnel_Unit_Cost_Categories" noThreeD="1" sel="1" val="0"/>
</file>

<file path=xl/ctrlProps/ctrlProp941.xml><?xml version="1.0" encoding="utf-8"?>
<formControlPr xmlns="http://schemas.microsoft.com/office/spreadsheetml/2009/9/main" objectType="Drop" dropLines="20" dropStyle="combo" dx="20" fmlaLink="$I$25" fmlaRange="LU_FLU_Personnel_Unit_Cost_Categories" noThreeD="1" sel="1" val="0"/>
</file>

<file path=xl/ctrlProps/ctrlProp942.xml><?xml version="1.0" encoding="utf-8"?>
<formControlPr xmlns="http://schemas.microsoft.com/office/spreadsheetml/2009/9/main" objectType="Drop" dropLines="20" dropStyle="combo" dx="20" fmlaLink="$I$26" fmlaRange="LU_FLU_Personnel_Unit_Cost_Categories" noThreeD="1" sel="1" val="0"/>
</file>

<file path=xl/ctrlProps/ctrlProp943.xml><?xml version="1.0" encoding="utf-8"?>
<formControlPr xmlns="http://schemas.microsoft.com/office/spreadsheetml/2009/9/main" objectType="Drop" dropLines="20" dropStyle="combo" dx="20" fmlaLink="$I$27" fmlaRange="LU_FLU_Personnel_Unit_Cost_Categories" noThreeD="1" sel="1" val="0"/>
</file>

<file path=xl/ctrlProps/ctrlProp944.xml><?xml version="1.0" encoding="utf-8"?>
<formControlPr xmlns="http://schemas.microsoft.com/office/spreadsheetml/2009/9/main" objectType="Drop" dropLines="20" dropStyle="combo" dx="20" fmlaLink="$D$28" fmlaRange="LU_FLU_RECC_PRICES_GROUP_A" noThreeD="1" sel="1" val="0"/>
</file>

<file path=xl/ctrlProps/ctrlProp945.xml><?xml version="1.0" encoding="utf-8"?>
<formControlPr xmlns="http://schemas.microsoft.com/office/spreadsheetml/2009/9/main" objectType="Drop" dropLines="20" dropStyle="combo" dx="20" fmlaLink="$I$28" fmlaRange="LU_FLU_Personnel_Unit_Cost_Categories" noThreeD="1" sel="1" val="0"/>
</file>

<file path=xl/ctrlProps/ctrlProp946.xml><?xml version="1.0" encoding="utf-8"?>
<formControlPr xmlns="http://schemas.microsoft.com/office/spreadsheetml/2009/9/main" objectType="Drop" dropLines="20" dropStyle="combo" dx="20" fmlaLink="$D$47" fmlaRange="LU_FLU_RECC_PRICES_GROUP_C" noThreeD="1" sel="1" val="0"/>
</file>

<file path=xl/ctrlProps/ctrlProp947.xml><?xml version="1.0" encoding="utf-8"?>
<formControlPr xmlns="http://schemas.microsoft.com/office/spreadsheetml/2009/9/main" objectType="Drop" dropLines="20" dropStyle="combo" dx="20" fmlaLink="$D$66" fmlaRange="LU_FLU_RECC_PRICES_GROUP_D" noThreeD="1" sel="1" val="0"/>
</file>

<file path=xl/ctrlProps/ctrlProp948.xml><?xml version="1.0" encoding="utf-8"?>
<formControlPr xmlns="http://schemas.microsoft.com/office/spreadsheetml/2009/9/main" objectType="Drop" dropLines="20" dropStyle="combo" dx="20" fmlaLink="$D$85" fmlaRange="LU_FLU_RECC_PRICES_GROUP_E" noThreeD="1" sel="1" val="0"/>
</file>

<file path=xl/ctrlProps/ctrlProp949.xml><?xml version="1.0" encoding="utf-8"?>
<formControlPr xmlns="http://schemas.microsoft.com/office/spreadsheetml/2009/9/main" objectType="Drop" dropLines="20" dropStyle="combo" dx="16" fmlaLink="$D$95" fmlaRange="LU_FLU_RECC_PRICES_GROUP_A" noThreeD="1" sel="19" val="3"/>
</file>

<file path=xl/ctrlProps/ctrlProp95.xml><?xml version="1.0" encoding="utf-8"?>
<formControlPr xmlns="http://schemas.microsoft.com/office/spreadsheetml/2009/9/main" objectType="Drop" dropLines="20" dropStyle="combo" dx="20" fmlaLink="DD_FLU_Micro_Pers_Time_Unit_2" fmlaRange="LU_FLU_Personnel_Unit_Cost_Categories" noThreeD="1" sel="2" val="0"/>
</file>

<file path=xl/ctrlProps/ctrlProp950.xml><?xml version="1.0" encoding="utf-8"?>
<formControlPr xmlns="http://schemas.microsoft.com/office/spreadsheetml/2009/9/main" objectType="Drop" dropLines="20" dropStyle="combo" dx="16" fmlaLink="$D$96" fmlaRange="LU_FLU_RECC_PRICES_GROUP_A" noThreeD="1" sel="19" val="4"/>
</file>

<file path=xl/ctrlProps/ctrlProp951.xml><?xml version="1.0" encoding="utf-8"?>
<formControlPr xmlns="http://schemas.microsoft.com/office/spreadsheetml/2009/9/main" objectType="Drop" dropLines="20" dropStyle="combo" dx="16" fmlaLink="$D$97" fmlaRange="LU_FLU_RECC_PRICES_GROUP_A" noThreeD="1" sel="1" val="0"/>
</file>

<file path=xl/ctrlProps/ctrlProp952.xml><?xml version="1.0" encoding="utf-8"?>
<formControlPr xmlns="http://schemas.microsoft.com/office/spreadsheetml/2009/9/main" objectType="Drop" dropLines="20" dropStyle="combo" dx="16" fmlaLink="$D$98" fmlaRange="LU_FLU_RECC_PRICES_GROUP_A" noThreeD="1" sel="1" val="0"/>
</file>

<file path=xl/ctrlProps/ctrlProp953.xml><?xml version="1.0" encoding="utf-8"?>
<formControlPr xmlns="http://schemas.microsoft.com/office/spreadsheetml/2009/9/main" objectType="Drop" dropLines="20" dropStyle="combo" dx="16" fmlaLink="$D$99" fmlaRange="LU_FLU_RECC_PRICES_GROUP_A" noThreeD="1" sel="1" val="0"/>
</file>

<file path=xl/ctrlProps/ctrlProp954.xml><?xml version="1.0" encoding="utf-8"?>
<formControlPr xmlns="http://schemas.microsoft.com/office/spreadsheetml/2009/9/main" objectType="Drop" dropLines="20" dropStyle="combo" dx="16" fmlaLink="$D$100" fmlaRange="LU_FLU_RECC_PRICES_GROUP_A" noThreeD="1" sel="1" val="0"/>
</file>

<file path=xl/ctrlProps/ctrlProp955.xml><?xml version="1.0" encoding="utf-8"?>
<formControlPr xmlns="http://schemas.microsoft.com/office/spreadsheetml/2009/9/main" objectType="Drop" dropLines="20" dropStyle="combo" dx="16" fmlaLink="$D$101" fmlaRange="LU_FLU_RECC_PRICES_GROUP_A" noThreeD="1" sel="1" val="0"/>
</file>

<file path=xl/ctrlProps/ctrlProp956.xml><?xml version="1.0" encoding="utf-8"?>
<formControlPr xmlns="http://schemas.microsoft.com/office/spreadsheetml/2009/9/main" objectType="Drop" dropLines="20" dropStyle="combo" dx="16" fmlaLink="$D$102" fmlaRange="LU_FLU_RECC_PRICES_GROUP_A" noThreeD="1" sel="1" val="0"/>
</file>

<file path=xl/ctrlProps/ctrlProp957.xml><?xml version="1.0" encoding="utf-8"?>
<formControlPr xmlns="http://schemas.microsoft.com/office/spreadsheetml/2009/9/main" objectType="Drop" dropLines="20" dropStyle="combo" dx="16" fmlaLink="$D$103" fmlaRange="LU_FLU_RECC_PRICES_GROUP_A" noThreeD="1" sel="1" val="0"/>
</file>

<file path=xl/ctrlProps/ctrlProp958.xml><?xml version="1.0" encoding="utf-8"?>
<formControlPr xmlns="http://schemas.microsoft.com/office/spreadsheetml/2009/9/main" objectType="Drop" dropLines="20" dropStyle="combo" dx="16" fmlaLink="$D$104" fmlaRange="LU_FLU_RECC_PRICES_GROUP_A" noThreeD="1" sel="1" val="0"/>
</file>

<file path=xl/ctrlProps/ctrlProp959.xml><?xml version="1.0" encoding="utf-8"?>
<formControlPr xmlns="http://schemas.microsoft.com/office/spreadsheetml/2009/9/main" objectType="Drop" dropLines="20" dropStyle="combo" dx="16" fmlaLink="$D$105" fmlaRange="LU_FLU_RECC_PRICES_GROUP_A" noThreeD="1" sel="1" val="0"/>
</file>

<file path=xl/ctrlProps/ctrlProp96.xml><?xml version="1.0" encoding="utf-8"?>
<formControlPr xmlns="http://schemas.microsoft.com/office/spreadsheetml/2009/9/main" objectType="Drop" dropLines="20" dropStyle="combo" dx="20" fmlaLink="DD_FLU_Micro_Pers_Time_Unit_3" fmlaRange="LU_FLU_Personnel_Unit_Cost_Categories" noThreeD="1" sel="2" val="0"/>
</file>

<file path=xl/ctrlProps/ctrlProp960.xml><?xml version="1.0" encoding="utf-8"?>
<formControlPr xmlns="http://schemas.microsoft.com/office/spreadsheetml/2009/9/main" objectType="Drop" dropLines="20" dropStyle="combo" dx="16" fmlaLink="$D$106" fmlaRange="LU_FLU_RECC_PRICES_GROUP_A" noThreeD="1" sel="1" val="0"/>
</file>

<file path=xl/ctrlProps/ctrlProp961.xml><?xml version="1.0" encoding="utf-8"?>
<formControlPr xmlns="http://schemas.microsoft.com/office/spreadsheetml/2009/9/main" objectType="Drop" dropLines="20" dropStyle="combo" dx="16" fmlaLink="$D$107" fmlaRange="LU_FLU_RECC_PRICES_GROUP_A" noThreeD="1" sel="1" val="0"/>
</file>

<file path=xl/ctrlProps/ctrlProp962.xml><?xml version="1.0" encoding="utf-8"?>
<formControlPr xmlns="http://schemas.microsoft.com/office/spreadsheetml/2009/9/main" objectType="Drop" dropLines="20" dropStyle="combo" dx="16" fmlaLink="$D$108" fmlaRange="LU_FLU_RECC_PRICES_GROUP_A" noThreeD="1" sel="1" val="0"/>
</file>

<file path=xl/ctrlProps/ctrlProp963.xml><?xml version="1.0" encoding="utf-8"?>
<formControlPr xmlns="http://schemas.microsoft.com/office/spreadsheetml/2009/9/main" objectType="Drop" dropLines="20" dropStyle="combo" dx="16" fmlaLink="$D$109" fmlaRange="LU_FLU_RECC_PRICES_GROUP_A" noThreeD="1" sel="1" val="0"/>
</file>

<file path=xl/ctrlProps/ctrlProp964.xml><?xml version="1.0" encoding="utf-8"?>
<formControlPr xmlns="http://schemas.microsoft.com/office/spreadsheetml/2009/9/main" objectType="Drop" dropLines="20" dropStyle="combo" dx="16" fmlaLink="$D$178" fmlaRange="LU_FLU_RECC_PRICES_GROUP_A" noThreeD="1" sel="19" val="2"/>
</file>

<file path=xl/ctrlProps/ctrlProp965.xml><?xml version="1.0" encoding="utf-8"?>
<formControlPr xmlns="http://schemas.microsoft.com/office/spreadsheetml/2009/9/main" objectType="Drop" dropLines="20" dropStyle="combo" dx="16" fmlaLink="$D$179" fmlaRange="LU_FLU_RECC_PRICES_GROUP_A" noThreeD="1" sel="19" val="0"/>
</file>

<file path=xl/ctrlProps/ctrlProp966.xml><?xml version="1.0" encoding="utf-8"?>
<formControlPr xmlns="http://schemas.microsoft.com/office/spreadsheetml/2009/9/main" objectType="Drop" dropLines="20" dropStyle="combo" dx="16" fmlaLink="$D$180" fmlaRange="LU_FLU_RECC_PRICES_GROUP_A" noThreeD="1" sel="1" val="0"/>
</file>

<file path=xl/ctrlProps/ctrlProp967.xml><?xml version="1.0" encoding="utf-8"?>
<formControlPr xmlns="http://schemas.microsoft.com/office/spreadsheetml/2009/9/main" objectType="Drop" dropLines="20" dropStyle="combo" dx="16" fmlaLink="$D$181" fmlaRange="LU_FLU_RECC_PRICES_GROUP_A" noThreeD="1" sel="1" val="0"/>
</file>

<file path=xl/ctrlProps/ctrlProp968.xml><?xml version="1.0" encoding="utf-8"?>
<formControlPr xmlns="http://schemas.microsoft.com/office/spreadsheetml/2009/9/main" objectType="Drop" dropLines="20" dropStyle="combo" dx="16" fmlaLink="$D$182" fmlaRange="LU_FLU_RECC_PRICES_GROUP_A" noThreeD="1" sel="1" val="0"/>
</file>

<file path=xl/ctrlProps/ctrlProp969.xml><?xml version="1.0" encoding="utf-8"?>
<formControlPr xmlns="http://schemas.microsoft.com/office/spreadsheetml/2009/9/main" objectType="Drop" dropLines="20" dropStyle="combo" dx="16" fmlaLink="$D$183" fmlaRange="LU_FLU_RECC_PRICES_GROUP_A" noThreeD="1" sel="1" val="0"/>
</file>

<file path=xl/ctrlProps/ctrlProp97.xml><?xml version="1.0" encoding="utf-8"?>
<formControlPr xmlns="http://schemas.microsoft.com/office/spreadsheetml/2009/9/main" objectType="Drop" dropLines="20" dropStyle="combo" dx="20" fmlaLink="DD_FLU_Micro_Pers_Time_Unit_4" fmlaRange="LU_FLU_Personnel_Unit_Cost_Categories" noThreeD="1" sel="2" val="0"/>
</file>

<file path=xl/ctrlProps/ctrlProp970.xml><?xml version="1.0" encoding="utf-8"?>
<formControlPr xmlns="http://schemas.microsoft.com/office/spreadsheetml/2009/9/main" objectType="Drop" dropLines="20" dropStyle="combo" dx="16" fmlaLink="$D$184" fmlaRange="LU_FLU_RECC_PRICES_GROUP_A" noThreeD="1" sel="1" val="0"/>
</file>

<file path=xl/ctrlProps/ctrlProp971.xml><?xml version="1.0" encoding="utf-8"?>
<formControlPr xmlns="http://schemas.microsoft.com/office/spreadsheetml/2009/9/main" objectType="Drop" dropLines="20" dropStyle="combo" dx="16" fmlaLink="$D$185" fmlaRange="LU_FLU_RECC_PRICES_GROUP_A" noThreeD="1" sel="1" val="0"/>
</file>

<file path=xl/ctrlProps/ctrlProp972.xml><?xml version="1.0" encoding="utf-8"?>
<formControlPr xmlns="http://schemas.microsoft.com/office/spreadsheetml/2009/9/main" objectType="Drop" dropLines="20" dropStyle="combo" dx="16" fmlaLink="$D$186" fmlaRange="LU_FLU_RECC_PRICES_GROUP_A" noThreeD="1" sel="1" val="0"/>
</file>

<file path=xl/ctrlProps/ctrlProp973.xml><?xml version="1.0" encoding="utf-8"?>
<formControlPr xmlns="http://schemas.microsoft.com/office/spreadsheetml/2009/9/main" objectType="Drop" dropLines="20" dropStyle="combo" dx="16" fmlaLink="$D$187" fmlaRange="LU_FLU_RECC_PRICES_GROUP_A" noThreeD="1" sel="1" val="0"/>
</file>

<file path=xl/ctrlProps/ctrlProp974.xml><?xml version="1.0" encoding="utf-8"?>
<formControlPr xmlns="http://schemas.microsoft.com/office/spreadsheetml/2009/9/main" objectType="Drop" dropLines="20" dropStyle="combo" dx="16" fmlaLink="$D$188" fmlaRange="LU_FLU_RECC_PRICES_GROUP_A" noThreeD="1" sel="1" val="0"/>
</file>

<file path=xl/ctrlProps/ctrlProp975.xml><?xml version="1.0" encoding="utf-8"?>
<formControlPr xmlns="http://schemas.microsoft.com/office/spreadsheetml/2009/9/main" objectType="Drop" dropLines="20" dropStyle="combo" dx="16" fmlaLink="$D$189" fmlaRange="LU_FLU_RECC_PRICES_GROUP_A" noThreeD="1" sel="1" val="0"/>
</file>

<file path=xl/ctrlProps/ctrlProp976.xml><?xml version="1.0" encoding="utf-8"?>
<formControlPr xmlns="http://schemas.microsoft.com/office/spreadsheetml/2009/9/main" objectType="Drop" dropLines="20" dropStyle="combo" dx="16" fmlaLink="$D$190" fmlaRange="LU_FLU_RECC_PRICES_GROUP_A" noThreeD="1" sel="1" val="0"/>
</file>

<file path=xl/ctrlProps/ctrlProp977.xml><?xml version="1.0" encoding="utf-8"?>
<formControlPr xmlns="http://schemas.microsoft.com/office/spreadsheetml/2009/9/main" objectType="Drop" dropLines="20" dropStyle="combo" dx="16" fmlaLink="$D$191" fmlaRange="LU_FLU_RECC_PRICES_GROUP_A" noThreeD="1" sel="1" val="0"/>
</file>

<file path=xl/ctrlProps/ctrlProp978.xml><?xml version="1.0" encoding="utf-8"?>
<formControlPr xmlns="http://schemas.microsoft.com/office/spreadsheetml/2009/9/main" objectType="Drop" dropLines="20" dropStyle="combo" dx="16" fmlaLink="$D$192" fmlaRange="LU_FLU_RECC_PRICES_GROUP_A" noThreeD="1" sel="1" val="0"/>
</file>

<file path=xl/ctrlProps/ctrlProp979.xml><?xml version="1.0" encoding="utf-8"?>
<formControlPr xmlns="http://schemas.microsoft.com/office/spreadsheetml/2009/9/main" objectType="Drop" dropLines="20" dropStyle="combo" dx="16" fmlaLink="$I$178" fmlaRange="LU_FLU_Personnel_Unit_Cost_Categories" noThreeD="1" sel="3" val="0"/>
</file>

<file path=xl/ctrlProps/ctrlProp98.xml><?xml version="1.0" encoding="utf-8"?>
<formControlPr xmlns="http://schemas.microsoft.com/office/spreadsheetml/2009/9/main" objectType="Drop" dropLines="20" dropStyle="combo" dx="20" fmlaLink="DD_FLU_Micro_Pers_Time_Unit_5" fmlaRange="LU_FLU_Personnel_Unit_Cost_Categories" noThreeD="1" sel="2" val="0"/>
</file>

<file path=xl/ctrlProps/ctrlProp980.xml><?xml version="1.0" encoding="utf-8"?>
<formControlPr xmlns="http://schemas.microsoft.com/office/spreadsheetml/2009/9/main" objectType="Drop" dropLines="20" dropStyle="combo" dx="16" fmlaLink="$I$179" fmlaRange="LU_FLU_Personnel_Unit_Cost_Categories" noThreeD="1" sel="3" val="0"/>
</file>

<file path=xl/ctrlProps/ctrlProp981.xml><?xml version="1.0" encoding="utf-8"?>
<formControlPr xmlns="http://schemas.microsoft.com/office/spreadsheetml/2009/9/main" objectType="Drop" dropLines="20" dropStyle="combo" dx="16" fmlaLink="$I$180" fmlaRange="LU_FLU_Personnel_Unit_Cost_Categories" noThreeD="1" sel="1" val="0"/>
</file>

<file path=xl/ctrlProps/ctrlProp982.xml><?xml version="1.0" encoding="utf-8"?>
<formControlPr xmlns="http://schemas.microsoft.com/office/spreadsheetml/2009/9/main" objectType="Drop" dropLines="20" dropStyle="combo" dx="16" fmlaLink="$I$181" fmlaRange="LU_FLU_Personnel_Unit_Cost_Categories" noThreeD="1" sel="1" val="0"/>
</file>

<file path=xl/ctrlProps/ctrlProp983.xml><?xml version="1.0" encoding="utf-8"?>
<formControlPr xmlns="http://schemas.microsoft.com/office/spreadsheetml/2009/9/main" objectType="Drop" dropLines="20" dropStyle="combo" dx="16" fmlaLink="$I$182" fmlaRange="LU_FLU_Personnel_Unit_Cost_Categories" noThreeD="1" sel="1" val="0"/>
</file>

<file path=xl/ctrlProps/ctrlProp984.xml><?xml version="1.0" encoding="utf-8"?>
<formControlPr xmlns="http://schemas.microsoft.com/office/spreadsheetml/2009/9/main" objectType="Drop" dropLines="20" dropStyle="combo" dx="16" fmlaLink="$I$183" fmlaRange="LU_FLU_Personnel_Unit_Cost_Categories" noThreeD="1" sel="1" val="0"/>
</file>

<file path=xl/ctrlProps/ctrlProp985.xml><?xml version="1.0" encoding="utf-8"?>
<formControlPr xmlns="http://schemas.microsoft.com/office/spreadsheetml/2009/9/main" objectType="Drop" dropLines="20" dropStyle="combo" dx="16" fmlaLink="$I$184" fmlaRange="LU_FLU_Personnel_Unit_Cost_Categories" noThreeD="1" sel="1" val="0"/>
</file>

<file path=xl/ctrlProps/ctrlProp986.xml><?xml version="1.0" encoding="utf-8"?>
<formControlPr xmlns="http://schemas.microsoft.com/office/spreadsheetml/2009/9/main" objectType="Drop" dropLines="20" dropStyle="combo" dx="16" fmlaLink="$I$185" fmlaRange="LU_FLU_Personnel_Unit_Cost_Categories" noThreeD="1" sel="1" val="0"/>
</file>

<file path=xl/ctrlProps/ctrlProp987.xml><?xml version="1.0" encoding="utf-8"?>
<formControlPr xmlns="http://schemas.microsoft.com/office/spreadsheetml/2009/9/main" objectType="Drop" dropLines="20" dropStyle="combo" dx="16" fmlaLink="$I$186" fmlaRange="LU_FLU_Personnel_Unit_Cost_Categories" noThreeD="1" sel="1" val="0"/>
</file>

<file path=xl/ctrlProps/ctrlProp988.xml><?xml version="1.0" encoding="utf-8"?>
<formControlPr xmlns="http://schemas.microsoft.com/office/spreadsheetml/2009/9/main" objectType="Drop" dropLines="20" dropStyle="combo" dx="16" fmlaLink="$I$187" fmlaRange="LU_FLU_Personnel_Unit_Cost_Categories" noThreeD="1" sel="1" val="0"/>
</file>

<file path=xl/ctrlProps/ctrlProp989.xml><?xml version="1.0" encoding="utf-8"?>
<formControlPr xmlns="http://schemas.microsoft.com/office/spreadsheetml/2009/9/main" objectType="Drop" dropLines="20" dropStyle="combo" dx="16" fmlaLink="$I$188" fmlaRange="LU_FLU_Personnel_Unit_Cost_Categories" noThreeD="1" sel="1" val="0"/>
</file>

<file path=xl/ctrlProps/ctrlProp99.xml><?xml version="1.0" encoding="utf-8"?>
<formControlPr xmlns="http://schemas.microsoft.com/office/spreadsheetml/2009/9/main" objectType="Drop" dropLines="20" dropStyle="combo" dx="20" fmlaLink="DD_FLU_Micro_Pers_Time_Unit_6" fmlaRange="LU_FLU_Personnel_Unit_Cost_Categories" noThreeD="1" sel="2" val="0"/>
</file>

<file path=xl/ctrlProps/ctrlProp990.xml><?xml version="1.0" encoding="utf-8"?>
<formControlPr xmlns="http://schemas.microsoft.com/office/spreadsheetml/2009/9/main" objectType="Drop" dropLines="20" dropStyle="combo" dx="16" fmlaLink="$I$189" fmlaRange="LU_FLU_Personnel_Unit_Cost_Categories" noThreeD="1" sel="1" val="0"/>
</file>

<file path=xl/ctrlProps/ctrlProp991.xml><?xml version="1.0" encoding="utf-8"?>
<formControlPr xmlns="http://schemas.microsoft.com/office/spreadsheetml/2009/9/main" objectType="Drop" dropLines="20" dropStyle="combo" dx="16" fmlaLink="$I$190" fmlaRange="LU_FLU_Personnel_Unit_Cost_Categories" noThreeD="1" sel="1" val="0"/>
</file>

<file path=xl/ctrlProps/ctrlProp992.xml><?xml version="1.0" encoding="utf-8"?>
<formControlPr xmlns="http://schemas.microsoft.com/office/spreadsheetml/2009/9/main" objectType="Drop" dropLines="20" dropStyle="combo" dx="16" fmlaLink="$I$191" fmlaRange="LU_FLU_Personnel_Unit_Cost_Categories" noThreeD="1" sel="1" val="0"/>
</file>

<file path=xl/ctrlProps/ctrlProp993.xml><?xml version="1.0" encoding="utf-8"?>
<formControlPr xmlns="http://schemas.microsoft.com/office/spreadsheetml/2009/9/main" objectType="Drop" dropLines="20" dropStyle="combo" dx="16" fmlaLink="$I$192" fmlaRange="LU_FLU_Personnel_Unit_Cost_Categories" noThreeD="1" sel="1" val="0"/>
</file>

<file path=xl/ctrlProps/ctrlProp994.xml><?xml version="1.0" encoding="utf-8"?>
<formControlPr xmlns="http://schemas.microsoft.com/office/spreadsheetml/2009/9/main" objectType="Drop" dropLines="20" dropStyle="combo" dx="16" fmlaLink="$I$95" fmlaRange="LU_FLU_Personnel_Unit_Cost_Categories" noThreeD="1" sel="3" val="0"/>
</file>

<file path=xl/ctrlProps/ctrlProp995.xml><?xml version="1.0" encoding="utf-8"?>
<formControlPr xmlns="http://schemas.microsoft.com/office/spreadsheetml/2009/9/main" objectType="Drop" dropLines="20" dropStyle="combo" dx="16" fmlaLink="$I$96" fmlaRange="LU_FLU_Personnel_Unit_Cost_Categories" noThreeD="1" sel="3" val="0"/>
</file>

<file path=xl/ctrlProps/ctrlProp996.xml><?xml version="1.0" encoding="utf-8"?>
<formControlPr xmlns="http://schemas.microsoft.com/office/spreadsheetml/2009/9/main" objectType="Drop" dropLines="20" dropStyle="combo" dx="16" fmlaLink="$I$97" fmlaRange="LU_FLU_Personnel_Unit_Cost_Categories" noThreeD="1" sel="1" val="0"/>
</file>

<file path=xl/ctrlProps/ctrlProp997.xml><?xml version="1.0" encoding="utf-8"?>
<formControlPr xmlns="http://schemas.microsoft.com/office/spreadsheetml/2009/9/main" objectType="Drop" dropLines="20" dropStyle="combo" dx="16" fmlaLink="$I$98" fmlaRange="LU_FLU_Personnel_Unit_Cost_Categories" noThreeD="1" sel="1" val="0"/>
</file>

<file path=xl/ctrlProps/ctrlProp998.xml><?xml version="1.0" encoding="utf-8"?>
<formControlPr xmlns="http://schemas.microsoft.com/office/spreadsheetml/2009/9/main" objectType="Drop" dropLines="20" dropStyle="combo" dx="16" fmlaLink="$I$99" fmlaRange="LU_FLU_Personnel_Unit_Cost_Categories" noThreeD="1" sel="1" val="0"/>
</file>

<file path=xl/ctrlProps/ctrlProp999.xml><?xml version="1.0" encoding="utf-8"?>
<formControlPr xmlns="http://schemas.microsoft.com/office/spreadsheetml/2009/9/main" objectType="Drop" dropLines="20" dropStyle="combo" dx="16" fmlaLink="$I$100" fmlaRange="LU_FLU_Personnel_Unit_Cost_Categories" noThreeD="1" sel="1" val="0"/>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2.jpeg"/><Relationship Id="rId7" Type="http://schemas.openxmlformats.org/officeDocument/2006/relationships/image" Target="../media/image5.png"/><Relationship Id="rId2" Type="http://schemas.openxmlformats.org/officeDocument/2006/relationships/hyperlink" Target="http://www.levinmorgan.com" TargetMode="External"/><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ome!A1"/><Relationship Id="rId9" Type="http://schemas.openxmlformats.org/officeDocument/2006/relationships/image" Target="../media/image7.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30.png"/><Relationship Id="rId4" Type="http://schemas.openxmlformats.org/officeDocument/2006/relationships/image" Target="../media/image3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hyperlink" Target="#MICROPLANNING_BA!A1"/><Relationship Id="rId2" Type="http://schemas.openxmlformats.org/officeDocument/2006/relationships/image" Target="../media/image3.png"/><Relationship Id="rId1" Type="http://schemas.openxmlformats.org/officeDocument/2006/relationships/hyperlink" Target="#Home!A1"/><Relationship Id="rId5" Type="http://schemas.openxmlformats.org/officeDocument/2006/relationships/image" Target="../media/image33.png"/><Relationship Id="rId4"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hyperlink" Target="#TRAINING_BA!A1"/><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3" Type="http://schemas.openxmlformats.org/officeDocument/2006/relationships/hyperlink" Target="#SOC_MOB_BA!A1"/><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36.png"/></Relationships>
</file>

<file path=xl/drawings/_rels/drawing18.xml.rels><?xml version="1.0" encoding="UTF-8" standalone="yes"?>
<Relationships xmlns="http://schemas.openxmlformats.org/package/2006/relationships"><Relationship Id="rId3" Type="http://schemas.openxmlformats.org/officeDocument/2006/relationships/hyperlink" Target="#SD_ROUTINE_BA!A1"/><Relationship Id="rId7" Type="http://schemas.openxmlformats.org/officeDocument/2006/relationships/image" Target="../media/image39.png"/><Relationship Id="rId2" Type="http://schemas.openxmlformats.org/officeDocument/2006/relationships/image" Target="../media/image3.png"/><Relationship Id="rId1" Type="http://schemas.openxmlformats.org/officeDocument/2006/relationships/hyperlink" Target="#Home!A1"/><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hyperlink" Target="#SD_SIA_BA!A1"/></Relationships>
</file>

<file path=xl/drawings/_rels/drawing19.xml.rels><?xml version="1.0" encoding="UTF-8" standalone="yes"?>
<Relationships xmlns="http://schemas.openxmlformats.org/package/2006/relationships"><Relationship Id="rId3" Type="http://schemas.openxmlformats.org/officeDocument/2006/relationships/hyperlink" Target="#SUPERV_BA!A1"/><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40.png"/></Relationships>
</file>

<file path=xl/drawings/_rels/drawing2.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8.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L_FLU_Detailed_Cold_Chain"/></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27.png"/><Relationship Id="rId4" Type="http://schemas.openxmlformats.org/officeDocument/2006/relationships/hyperlink" Target="#MICRO!A1"/></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35.png"/><Relationship Id="rId4" Type="http://schemas.openxmlformats.org/officeDocument/2006/relationships/hyperlink" Target="#DISTRIB!A1"/></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42.png"/><Relationship Id="rId4" Type="http://schemas.openxmlformats.org/officeDocument/2006/relationships/hyperlink" Target="#TRAIN!A1"/></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36.png"/><Relationship Id="rId4" Type="http://schemas.openxmlformats.org/officeDocument/2006/relationships/hyperlink" Target="#IEC!A1"/></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40.png"/><Relationship Id="rId4" Type="http://schemas.openxmlformats.org/officeDocument/2006/relationships/hyperlink" Target="#SUPV!A1"/></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39.png"/><Relationship Id="rId2" Type="http://schemas.openxmlformats.org/officeDocument/2006/relationships/hyperlink" Target="#Home!A1"/><Relationship Id="rId1" Type="http://schemas.openxmlformats.org/officeDocument/2006/relationships/hyperlink" Target="#Cost_Ingredients!A1"/><Relationship Id="rId6" Type="http://schemas.openxmlformats.org/officeDocument/2006/relationships/hyperlink" Target="#'SD-Imm_TO'!A1"/><Relationship Id="rId5" Type="http://schemas.openxmlformats.org/officeDocument/2006/relationships/image" Target="../media/image38.png"/><Relationship Id="rId4" Type="http://schemas.openxmlformats.org/officeDocument/2006/relationships/image" Target="../media/image3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6" Type="http://schemas.openxmlformats.org/officeDocument/2006/relationships/hyperlink" Target="#'SD-Imm_TO'!A1"/><Relationship Id="rId5" Type="http://schemas.openxmlformats.org/officeDocument/2006/relationships/image" Target="../media/image38.png"/><Relationship Id="rId4"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hyperlink" Target="#Cost_Ingredients!A1"/><Relationship Id="rId5" Type="http://schemas.openxmlformats.org/officeDocument/2006/relationships/image" Target="../media/image43.png"/><Relationship Id="rId4" Type="http://schemas.openxmlformats.org/officeDocument/2006/relationships/hyperlink" Target="#Other!A1"/></Relationships>
</file>

<file path=xl/drawings/_rels/drawing3.xml.rels><?xml version="1.0" encoding="UTF-8" standalone="yes"?>
<Relationships xmlns="http://schemas.openxmlformats.org/package/2006/relationships"><Relationship Id="rId13" Type="http://schemas.openxmlformats.org/officeDocument/2006/relationships/hyperlink" Target="#OTHER_BA!A1"/><Relationship Id="rId18" Type="http://schemas.openxmlformats.org/officeDocument/2006/relationships/hyperlink" Target="#TRAIN!A1"/><Relationship Id="rId26" Type="http://schemas.openxmlformats.org/officeDocument/2006/relationships/image" Target="../media/image10.png"/><Relationship Id="rId3" Type="http://schemas.openxmlformats.org/officeDocument/2006/relationships/hyperlink" Target="#Labels!A1"/><Relationship Id="rId21" Type="http://schemas.openxmlformats.org/officeDocument/2006/relationships/hyperlink" Target="#SUPV!A1"/><Relationship Id="rId34" Type="http://schemas.openxmlformats.org/officeDocument/2006/relationships/hyperlink" Target="#Graphs!A1"/><Relationship Id="rId7" Type="http://schemas.openxmlformats.org/officeDocument/2006/relationships/hyperlink" Target="#MICROPLANNING_BA!A1"/><Relationship Id="rId12" Type="http://schemas.openxmlformats.org/officeDocument/2006/relationships/hyperlink" Target="#SUPERV_BA!A1"/><Relationship Id="rId17" Type="http://schemas.openxmlformats.org/officeDocument/2006/relationships/hyperlink" Target="#DISTRIB!A1"/><Relationship Id="rId25" Type="http://schemas.openxmlformats.org/officeDocument/2006/relationships/image" Target="../media/image9.png"/><Relationship Id="rId33" Type="http://schemas.openxmlformats.org/officeDocument/2006/relationships/hyperlink" Target="#INCREMENTAL!A1"/><Relationship Id="rId2" Type="http://schemas.openxmlformats.org/officeDocument/2006/relationships/hyperlink" Target="#Financial!A1"/><Relationship Id="rId16" Type="http://schemas.openxmlformats.org/officeDocument/2006/relationships/hyperlink" Target="#MICRO!A1"/><Relationship Id="rId20" Type="http://schemas.openxmlformats.org/officeDocument/2006/relationships/hyperlink" Target="#'SD-Imm_TO'!A1"/><Relationship Id="rId29" Type="http://schemas.openxmlformats.org/officeDocument/2006/relationships/image" Target="../media/image13.png"/><Relationship Id="rId1" Type="http://schemas.openxmlformats.org/officeDocument/2006/relationships/hyperlink" Target="#Time_Period!A1"/><Relationship Id="rId6" Type="http://schemas.openxmlformats.org/officeDocument/2006/relationships/image" Target="../media/image3.png"/><Relationship Id="rId11" Type="http://schemas.openxmlformats.org/officeDocument/2006/relationships/hyperlink" Target="#SD_ROUTINE_BA!A1"/><Relationship Id="rId24" Type="http://schemas.openxmlformats.org/officeDocument/2006/relationships/hyperlink" Target="#HL_FLU_Detailed_Cold_Chain"/><Relationship Id="rId32" Type="http://schemas.openxmlformats.org/officeDocument/2006/relationships/hyperlink" Target="#Contents!A1"/><Relationship Id="rId5" Type="http://schemas.openxmlformats.org/officeDocument/2006/relationships/hyperlink" Target="#Home!A1"/><Relationship Id="rId15" Type="http://schemas.openxmlformats.org/officeDocument/2006/relationships/hyperlink" Target="#PROCUR!A1"/><Relationship Id="rId23" Type="http://schemas.openxmlformats.org/officeDocument/2006/relationships/hyperlink" Target="#HL_FLU_Cold_Chain_Expansion"/><Relationship Id="rId28" Type="http://schemas.openxmlformats.org/officeDocument/2006/relationships/image" Target="../media/image12.png"/><Relationship Id="rId10" Type="http://schemas.openxmlformats.org/officeDocument/2006/relationships/hyperlink" Target="#SOC_MOB_BA!A1"/><Relationship Id="rId19" Type="http://schemas.openxmlformats.org/officeDocument/2006/relationships/hyperlink" Target="#IEC!A1"/><Relationship Id="rId31" Type="http://schemas.openxmlformats.org/officeDocument/2006/relationships/hyperlink" Target="#'SD-Analysis'!A1"/><Relationship Id="rId4" Type="http://schemas.openxmlformats.org/officeDocument/2006/relationships/hyperlink" Target="#TGT_POPS!A1"/><Relationship Id="rId9" Type="http://schemas.openxmlformats.org/officeDocument/2006/relationships/hyperlink" Target="#TRAINING_BA!A1"/><Relationship Id="rId14" Type="http://schemas.openxmlformats.org/officeDocument/2006/relationships/hyperlink" Target="#SD_SIA_BA!A1"/><Relationship Id="rId22" Type="http://schemas.openxmlformats.org/officeDocument/2006/relationships/hyperlink" Target="#Other!A1"/><Relationship Id="rId27" Type="http://schemas.openxmlformats.org/officeDocument/2006/relationships/image" Target="../media/image11.png"/><Relationship Id="rId30" Type="http://schemas.openxmlformats.org/officeDocument/2006/relationships/hyperlink" Target="#DASHBOARD!A1"/><Relationship Id="rId8" Type="http://schemas.openxmlformats.org/officeDocument/2006/relationships/hyperlink" Target="#DISTRIBUTION_BA!A1"/></Relationships>
</file>

<file path=xl/drawings/_rels/drawing30.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4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47.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3.png"/><Relationship Id="rId1" Type="http://schemas.openxmlformats.org/officeDocument/2006/relationships/hyperlink" Target="#Home!A1"/><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0.pn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8" Type="http://schemas.openxmlformats.org/officeDocument/2006/relationships/hyperlink" Target="#Home!A1"/><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9"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xdr:row>
      <xdr:rowOff>57150</xdr:rowOff>
    </xdr:from>
    <xdr:to>
      <xdr:col>6</xdr:col>
      <xdr:colOff>95250</xdr:colOff>
      <xdr:row>6</xdr:row>
      <xdr:rowOff>130497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76275"/>
          <a:ext cx="2943225" cy="911547"/>
        </a:xfrm>
        <a:prstGeom prst="rect">
          <a:avLst/>
        </a:prstGeom>
      </xdr:spPr>
    </xdr:pic>
    <xdr:clientData/>
  </xdr:twoCellAnchor>
  <xdr:twoCellAnchor editAs="oneCell">
    <xdr:from>
      <xdr:col>12</xdr:col>
      <xdr:colOff>828674</xdr:colOff>
      <xdr:row>28</xdr:row>
      <xdr:rowOff>26089</xdr:rowOff>
    </xdr:from>
    <xdr:to>
      <xdr:col>14</xdr:col>
      <xdr:colOff>123825</xdr:colOff>
      <xdr:row>30</xdr:row>
      <xdr:rowOff>108916</xdr:rowOff>
    </xdr:to>
    <xdr:pic>
      <xdr:nvPicPr>
        <xdr:cNvPr id="19" name="Picture 18">
          <a:hlinkClick xmlns:r="http://schemas.openxmlformats.org/officeDocument/2006/relationships" r:id="rId2"/>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67799" y="6541189"/>
          <a:ext cx="1066801" cy="463827"/>
        </a:xfrm>
        <a:prstGeom prst="rect">
          <a:avLst/>
        </a:prstGeom>
      </xdr:spPr>
    </xdr:pic>
    <xdr:clientData/>
  </xdr:twoCellAnchor>
  <xdr:twoCellAnchor editAs="oneCell">
    <xdr:from>
      <xdr:col>12</xdr:col>
      <xdr:colOff>123826</xdr:colOff>
      <xdr:row>9</xdr:row>
      <xdr:rowOff>314325</xdr:rowOff>
    </xdr:from>
    <xdr:to>
      <xdr:col>12</xdr:col>
      <xdr:colOff>571500</xdr:colOff>
      <xdr:row>9</xdr:row>
      <xdr:rowOff>761999</xdr:rowOff>
    </xdr:to>
    <xdr:pic>
      <xdr:nvPicPr>
        <xdr:cNvPr id="7" name="Picture 6">
          <a:hlinkClick xmlns:r="http://schemas.openxmlformats.org/officeDocument/2006/relationships" r:id="rId4"/>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8362951" y="2133600"/>
          <a:ext cx="447674" cy="447674"/>
        </a:xfrm>
        <a:prstGeom prst="rect">
          <a:avLst/>
        </a:prstGeom>
      </xdr:spPr>
    </xdr:pic>
    <xdr:clientData/>
  </xdr:twoCellAnchor>
  <xdr:twoCellAnchor editAs="oneCell">
    <xdr:from>
      <xdr:col>10</xdr:col>
      <xdr:colOff>609599</xdr:colOff>
      <xdr:row>4</xdr:row>
      <xdr:rowOff>123824</xdr:rowOff>
    </xdr:from>
    <xdr:to>
      <xdr:col>11</xdr:col>
      <xdr:colOff>323735</xdr:colOff>
      <xdr:row>6</xdr:row>
      <xdr:rowOff>104660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7077074" y="962024"/>
          <a:ext cx="599961" cy="599961"/>
        </a:xfrm>
        <a:prstGeom prst="rect">
          <a:avLst/>
        </a:prstGeom>
      </xdr:spPr>
    </xdr:pic>
    <xdr:clientData/>
  </xdr:twoCellAnchor>
  <xdr:twoCellAnchor editAs="oneCell">
    <xdr:from>
      <xdr:col>10</xdr:col>
      <xdr:colOff>666750</xdr:colOff>
      <xdr:row>12</xdr:row>
      <xdr:rowOff>66675</xdr:rowOff>
    </xdr:from>
    <xdr:to>
      <xdr:col>14</xdr:col>
      <xdr:colOff>304402</xdr:colOff>
      <xdr:row>23</xdr:row>
      <xdr:rowOff>94971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134225" y="3609975"/>
          <a:ext cx="3180952" cy="2228571"/>
        </a:xfrm>
        <a:prstGeom prst="rect">
          <a:avLst/>
        </a:prstGeom>
      </xdr:spPr>
    </xdr:pic>
    <xdr:clientData/>
  </xdr:twoCellAnchor>
  <xdr:twoCellAnchor>
    <xdr:from>
      <xdr:col>2</xdr:col>
      <xdr:colOff>47812</xdr:colOff>
      <xdr:row>8</xdr:row>
      <xdr:rowOff>15882</xdr:rowOff>
    </xdr:from>
    <xdr:to>
      <xdr:col>8</xdr:col>
      <xdr:colOff>407486</xdr:colOff>
      <xdr:row>10</xdr:row>
      <xdr:rowOff>89121</xdr:rowOff>
    </xdr:to>
    <xdr:pic>
      <xdr:nvPicPr>
        <xdr:cNvPr id="12" name="TextBox 45">
          <a:extLst>
            <a:ext uri="{FF2B5EF4-FFF2-40B4-BE49-F238E27FC236}">
              <a16:creationId xmlns:a16="http://schemas.microsoft.com/office/drawing/2014/main" id="{00000000-0008-0000-0000-00000C000000}"/>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19462" y="1854207"/>
          <a:ext cx="3283849" cy="1397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247650</xdr:colOff>
      <xdr:row>6</xdr:row>
      <xdr:rowOff>85725</xdr:rowOff>
    </xdr:from>
    <xdr:to>
      <xdr:col>10</xdr:col>
      <xdr:colOff>51244</xdr:colOff>
      <xdr:row>10</xdr:row>
      <xdr:rowOff>160334</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243840" y="1516380"/>
          <a:ext cx="5640514" cy="1731959"/>
          <a:chOff x="4718050" y="2926117"/>
          <a:chExt cx="6310313" cy="1779584"/>
        </a:xfrm>
      </xdr:grpSpPr>
      <xdr:grpSp>
        <xdr:nvGrpSpPr>
          <xdr:cNvPr id="32" name="Group 31">
            <a:extLst>
              <a:ext uri="{FF2B5EF4-FFF2-40B4-BE49-F238E27FC236}">
                <a16:creationId xmlns:a16="http://schemas.microsoft.com/office/drawing/2014/main" id="{00000000-0008-0000-0000-000020000000}"/>
              </a:ext>
            </a:extLst>
          </xdr:cNvPr>
          <xdr:cNvGrpSpPr>
            <a:grpSpLocks/>
          </xdr:cNvGrpSpPr>
        </xdr:nvGrpSpPr>
        <xdr:grpSpPr bwMode="auto">
          <a:xfrm>
            <a:off x="4804911" y="3100739"/>
            <a:ext cx="6223452" cy="1604962"/>
            <a:chOff x="1803761" y="1455925"/>
            <a:chExt cx="5402581" cy="1392198"/>
          </a:xfrm>
        </xdr:grpSpPr>
        <xdr:pic>
          <xdr:nvPicPr>
            <xdr:cNvPr id="39" name="Picture 38" descr="shadow_1_m">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1518" b="2"/>
            <a:stretch>
              <a:fillRect/>
            </a:stretch>
          </xdr:blipFill>
          <xdr:spPr bwMode="gray">
            <a:xfrm>
              <a:off x="1803761" y="2535709"/>
              <a:ext cx="5402581" cy="31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Rectangle 39">
              <a:extLst>
                <a:ext uri="{FF2B5EF4-FFF2-40B4-BE49-F238E27FC236}">
                  <a16:creationId xmlns:a16="http://schemas.microsoft.com/office/drawing/2014/main" id="{00000000-0008-0000-0000-000028000000}"/>
                </a:ext>
              </a:extLst>
            </xdr:cNvPr>
            <xdr:cNvSpPr/>
          </xdr:nvSpPr>
          <xdr:spPr>
            <a:xfrm>
              <a:off x="2286492" y="1455925"/>
              <a:ext cx="4640094" cy="1248985"/>
            </a:xfrm>
            <a:prstGeom prst="rect">
              <a:avLst/>
            </a:prstGeom>
            <a:solidFill>
              <a:srgbClr val="7030A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US"/>
            </a:p>
          </xdr:txBody>
        </xdr:sp>
      </xdr:grpSp>
      <xdr:grpSp>
        <xdr:nvGrpSpPr>
          <xdr:cNvPr id="33" name="Group 32">
            <a:extLst>
              <a:ext uri="{FF2B5EF4-FFF2-40B4-BE49-F238E27FC236}">
                <a16:creationId xmlns:a16="http://schemas.microsoft.com/office/drawing/2014/main" id="{00000000-0008-0000-0000-000021000000}"/>
              </a:ext>
            </a:extLst>
          </xdr:cNvPr>
          <xdr:cNvGrpSpPr>
            <a:grpSpLocks/>
          </xdr:cNvGrpSpPr>
        </xdr:nvGrpSpPr>
        <xdr:grpSpPr bwMode="auto">
          <a:xfrm>
            <a:off x="4718050" y="2926117"/>
            <a:ext cx="2305050" cy="1522417"/>
            <a:chOff x="1728357" y="1304449"/>
            <a:chExt cx="2001014" cy="1320592"/>
          </a:xfrm>
        </xdr:grpSpPr>
        <xdr:sp macro="" textlink="">
          <xdr:nvSpPr>
            <xdr:cNvPr id="36" name="Right Triangle 35">
              <a:extLst>
                <a:ext uri="{FF2B5EF4-FFF2-40B4-BE49-F238E27FC236}">
                  <a16:creationId xmlns:a16="http://schemas.microsoft.com/office/drawing/2014/main" id="{00000000-0008-0000-0000-000024000000}"/>
                </a:ext>
              </a:extLst>
            </xdr:cNvPr>
            <xdr:cNvSpPr/>
          </xdr:nvSpPr>
          <xdr:spPr>
            <a:xfrm flipH="1">
              <a:off x="2114228" y="2473565"/>
              <a:ext cx="172264" cy="151476"/>
            </a:xfrm>
            <a:prstGeom prst="rtTriangle">
              <a:avLst/>
            </a:prstGeom>
            <a:solidFill>
              <a:schemeClr val="tx2">
                <a:lumMod val="60000"/>
                <a:lumOff val="4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US"/>
            </a:p>
          </xdr:txBody>
        </xdr:sp>
        <xdr:sp macro="" textlink="">
          <xdr:nvSpPr>
            <xdr:cNvPr id="37" name="Right Triangle 36">
              <a:extLst>
                <a:ext uri="{FF2B5EF4-FFF2-40B4-BE49-F238E27FC236}">
                  <a16:creationId xmlns:a16="http://schemas.microsoft.com/office/drawing/2014/main" id="{00000000-0008-0000-0000-000025000000}"/>
                </a:ext>
              </a:extLst>
            </xdr:cNvPr>
            <xdr:cNvSpPr/>
          </xdr:nvSpPr>
          <xdr:spPr>
            <a:xfrm flipH="1">
              <a:off x="3449616" y="1304449"/>
              <a:ext cx="172263" cy="151476"/>
            </a:xfrm>
            <a:prstGeom prst="rtTriangle">
              <a:avLst/>
            </a:prstGeom>
            <a:solidFill>
              <a:schemeClr val="tx2">
                <a:lumMod val="60000"/>
                <a:lumOff val="4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US"/>
            </a:p>
          </xdr:txBody>
        </xdr:sp>
        <xdr:sp macro="" textlink="">
          <xdr:nvSpPr>
            <xdr:cNvPr id="38" name="Trapezoid 2">
              <a:extLst>
                <a:ext uri="{FF2B5EF4-FFF2-40B4-BE49-F238E27FC236}">
                  <a16:creationId xmlns:a16="http://schemas.microsoft.com/office/drawing/2014/main" id="{00000000-0008-0000-0000-000026000000}"/>
                </a:ext>
              </a:extLst>
            </xdr:cNvPr>
            <xdr:cNvSpPr/>
          </xdr:nvSpPr>
          <xdr:spPr>
            <a:xfrm rot="19191503">
              <a:off x="1728357" y="1571597"/>
              <a:ext cx="2001014" cy="462689"/>
            </a:xfrm>
            <a:custGeom>
              <a:avLst/>
              <a:gdLst>
                <a:gd name="connsiteX0" fmla="*/ 0 w 1828800"/>
                <a:gd name="connsiteY0" fmla="*/ 457200 h 457200"/>
                <a:gd name="connsiteX1" fmla="*/ 114300 w 1828800"/>
                <a:gd name="connsiteY1" fmla="*/ 0 h 457200"/>
                <a:gd name="connsiteX2" fmla="*/ 1714500 w 1828800"/>
                <a:gd name="connsiteY2" fmla="*/ 0 h 457200"/>
                <a:gd name="connsiteX3" fmla="*/ 1828800 w 1828800"/>
                <a:gd name="connsiteY3" fmla="*/ 457200 h 457200"/>
                <a:gd name="connsiteX4" fmla="*/ 0 w 1828800"/>
                <a:gd name="connsiteY4" fmla="*/ 457200 h 457200"/>
                <a:gd name="connsiteX0" fmla="*/ 0 w 1828800"/>
                <a:gd name="connsiteY0" fmla="*/ 463642 h 463642"/>
                <a:gd name="connsiteX1" fmla="*/ 402156 w 1828800"/>
                <a:gd name="connsiteY1" fmla="*/ 0 h 463642"/>
                <a:gd name="connsiteX2" fmla="*/ 1714500 w 1828800"/>
                <a:gd name="connsiteY2" fmla="*/ 6442 h 463642"/>
                <a:gd name="connsiteX3" fmla="*/ 1828800 w 1828800"/>
                <a:gd name="connsiteY3" fmla="*/ 463642 h 463642"/>
                <a:gd name="connsiteX4" fmla="*/ 0 w 1828800"/>
                <a:gd name="connsiteY4" fmla="*/ 463642 h 463642"/>
                <a:gd name="connsiteX0" fmla="*/ 0 w 2001385"/>
                <a:gd name="connsiteY0" fmla="*/ 463642 h 463642"/>
                <a:gd name="connsiteX1" fmla="*/ 402156 w 2001385"/>
                <a:gd name="connsiteY1" fmla="*/ 0 h 463642"/>
                <a:gd name="connsiteX2" fmla="*/ 1714500 w 2001385"/>
                <a:gd name="connsiteY2" fmla="*/ 6442 h 463642"/>
                <a:gd name="connsiteX3" fmla="*/ 2001385 w 2001385"/>
                <a:gd name="connsiteY3" fmla="*/ 426441 h 463642"/>
                <a:gd name="connsiteX4" fmla="*/ 0 w 2001385"/>
                <a:gd name="connsiteY4" fmla="*/ 463642 h 463642"/>
                <a:gd name="connsiteX0" fmla="*/ 0 w 2001385"/>
                <a:gd name="connsiteY0" fmla="*/ 463642 h 463642"/>
                <a:gd name="connsiteX1" fmla="*/ 402156 w 2001385"/>
                <a:gd name="connsiteY1" fmla="*/ 0 h 463642"/>
                <a:gd name="connsiteX2" fmla="*/ 1514076 w 2001385"/>
                <a:gd name="connsiteY2" fmla="*/ 7706 h 463642"/>
                <a:gd name="connsiteX3" fmla="*/ 2001385 w 2001385"/>
                <a:gd name="connsiteY3" fmla="*/ 426441 h 463642"/>
                <a:gd name="connsiteX4" fmla="*/ 0 w 2001385"/>
                <a:gd name="connsiteY4" fmla="*/ 463642 h 46364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01385" h="463642">
                  <a:moveTo>
                    <a:pt x="0" y="463642"/>
                  </a:moveTo>
                  <a:lnTo>
                    <a:pt x="402156" y="0"/>
                  </a:lnTo>
                  <a:lnTo>
                    <a:pt x="1514076" y="7706"/>
                  </a:lnTo>
                  <a:lnTo>
                    <a:pt x="2001385" y="426441"/>
                  </a:lnTo>
                  <a:lnTo>
                    <a:pt x="0" y="463642"/>
                  </a:lnTo>
                  <a:close/>
                </a:path>
              </a:pathLst>
            </a:custGeom>
            <a:gradFill flip="none" rotWithShape="1">
              <a:gsLst>
                <a:gs pos="0">
                  <a:schemeClr val="bg1">
                    <a:lumMod val="65000"/>
                  </a:schemeClr>
                </a:gs>
                <a:gs pos="42000">
                  <a:schemeClr val="bg1">
                    <a:lumMod val="95000"/>
                  </a:schemeClr>
                </a:gs>
                <a:gs pos="89000">
                  <a:schemeClr val="bg1"/>
                </a:gs>
              </a:gsLst>
              <a:lin ang="3600000" scaled="0"/>
              <a:tileRect/>
            </a:gra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US"/>
            </a:p>
          </xdr:txBody>
        </xdr:sp>
      </xdr:grpSp>
      <xdr:sp macro="" textlink="">
        <xdr:nvSpPr>
          <xdr:cNvPr id="34" name="TextBox 45">
            <a:extLst>
              <a:ext uri="{FF2B5EF4-FFF2-40B4-BE49-F238E27FC236}">
                <a16:creationId xmlns:a16="http://schemas.microsoft.com/office/drawing/2014/main" id="{00000000-0008-0000-0000-000022000000}"/>
              </a:ext>
            </a:extLst>
          </xdr:cNvPr>
          <xdr:cNvSpPr txBox="1"/>
        </xdr:nvSpPr>
        <xdr:spPr>
          <a:xfrm>
            <a:off x="6552039" y="3249967"/>
            <a:ext cx="3209833" cy="9441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2400">
                <a:solidFill>
                  <a:schemeClr val="bg1"/>
                </a:solidFill>
                <a:latin typeface="+mj-lt"/>
              </a:rPr>
              <a:t>Seasonal Influenza Immunization Costing Tool (SIICT)</a:t>
            </a:r>
          </a:p>
        </xdr:txBody>
      </xdr:sp>
      <xdr:sp macro="" textlink="Labels!D20">
        <xdr:nvSpPr>
          <xdr:cNvPr id="35" name="Rectangle 34">
            <a:extLst>
              <a:ext uri="{FF2B5EF4-FFF2-40B4-BE49-F238E27FC236}">
                <a16:creationId xmlns:a16="http://schemas.microsoft.com/office/drawing/2014/main" id="{00000000-0008-0000-0000-000023000000}"/>
              </a:ext>
            </a:extLst>
          </xdr:cNvPr>
          <xdr:cNvSpPr/>
        </xdr:nvSpPr>
        <xdr:spPr>
          <a:xfrm rot="19126099">
            <a:off x="4947451" y="3317858"/>
            <a:ext cx="1828800" cy="374141"/>
          </a:xfrm>
          <a:prstGeom prst="rect">
            <a:avLst/>
          </a:prstGeom>
        </xdr:spPr>
        <xdr:txBody>
          <a:bodyPr wrap="square"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auto">
              <a:spcBef>
                <a:spcPts val="0"/>
              </a:spcBef>
              <a:spcAft>
                <a:spcPts val="0"/>
              </a:spcAft>
              <a:defRPr/>
            </a:pPr>
            <a:fld id="{A91E8955-7E73-432F-B9FA-78F1D25AB0AF}" type="TxLink">
              <a:rPr lang="en-US" sz="1800" b="0" i="0" u="none" strike="noStrike">
                <a:solidFill>
                  <a:srgbClr val="255E91"/>
                </a:solidFill>
                <a:latin typeface="Calibri Light"/>
                <a:cs typeface="Calibri Light"/>
              </a:rPr>
              <a:pPr algn="ctr" fontAlgn="auto">
                <a:spcBef>
                  <a:spcPts val="0"/>
                </a:spcBef>
                <a:spcAft>
                  <a:spcPts val="0"/>
                </a:spcAft>
                <a:defRPr/>
              </a:pPr>
              <a:t>Test Country</a:t>
            </a:fld>
            <a:endParaRPr lang="en-US" sz="5400">
              <a:solidFill>
                <a:schemeClr val="tx1">
                  <a:lumMod val="50000"/>
                  <a:lumOff val="50000"/>
                </a:schemeClr>
              </a:solidFill>
              <a:latin typeface="Articulate Light" panose="02000503040000020004" pitchFamily="2"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9525</xdr:colOff>
      <xdr:row>0</xdr:row>
      <xdr:rowOff>447675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161925"/>
          <a:ext cx="285750" cy="285750"/>
        </a:xfrm>
        <a:prstGeom prst="rect">
          <a:avLst/>
        </a:prstGeom>
      </xdr:spPr>
    </xdr:pic>
    <xdr:clientData/>
  </xdr:twoCellAnchor>
  <xdr:twoCellAnchor editAs="oneCell">
    <xdr:from>
      <xdr:col>5</xdr:col>
      <xdr:colOff>47625</xdr:colOff>
      <xdr:row>0</xdr:row>
      <xdr:rowOff>47625</xdr:rowOff>
    </xdr:from>
    <xdr:to>
      <xdr:col>5</xdr:col>
      <xdr:colOff>552450</xdr:colOff>
      <xdr:row>0</xdr:row>
      <xdr:rowOff>552450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3"/>
        <a:stretch>
          <a:fillRect/>
        </a:stretch>
      </xdr:blipFill>
      <xdr:spPr>
        <a:xfrm>
          <a:off x="2343150" y="47625"/>
          <a:ext cx="504825" cy="504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10</xdr:row>
      <xdr:rowOff>123825</xdr:rowOff>
    </xdr:from>
    <xdr:to>
      <xdr:col>2</xdr:col>
      <xdr:colOff>180974</xdr:colOff>
      <xdr:row>12</xdr:row>
      <xdr:rowOff>180974</xdr:rowOff>
    </xdr:to>
    <xdr:pic>
      <xdr:nvPicPr>
        <xdr:cNvPr id="2" name="bpmShapeFLU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95275" y="2200275"/>
          <a:ext cx="438149" cy="438149"/>
        </a:xfrm>
        <a:prstGeom prst="rect">
          <a:avLst/>
        </a:prstGeom>
      </xdr:spPr>
    </xdr:pic>
    <xdr:clientData/>
  </xdr:twoCellAnchor>
  <xdr:twoCellAnchor editAs="oneCell">
    <xdr:from>
      <xdr:col>0</xdr:col>
      <xdr:colOff>9525</xdr:colOff>
      <xdr:row>0</xdr:row>
      <xdr:rowOff>180975</xdr:rowOff>
    </xdr:from>
    <xdr:to>
      <xdr:col>1</xdr:col>
      <xdr:colOff>19050</xdr:colOff>
      <xdr:row>0</xdr:row>
      <xdr:rowOff>466725</xdr:rowOff>
    </xdr:to>
    <xdr:pic>
      <xdr:nvPicPr>
        <xdr:cNvPr id="3" name="Picture 1">
          <a:hlinkClick xmlns:r="http://schemas.openxmlformats.org/officeDocument/2006/relationships" r:id="rId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stretch>
          <a:fillRect/>
        </a:stretch>
      </xdr:blipFill>
      <xdr:spPr>
        <a:xfrm>
          <a:off x="9525" y="180975"/>
          <a:ext cx="285750" cy="285750"/>
        </a:xfrm>
        <a:prstGeom prst="rect">
          <a:avLst/>
        </a:prstGeom>
      </xdr:spPr>
    </xdr:pic>
    <xdr:clientData/>
  </xdr:twoCellAnchor>
  <xdr:twoCellAnchor editAs="oneCell">
    <xdr:from>
      <xdr:col>7</xdr:col>
      <xdr:colOff>190500</xdr:colOff>
      <xdr:row>0</xdr:row>
      <xdr:rowOff>85725</xdr:rowOff>
    </xdr:from>
    <xdr:to>
      <xdr:col>7</xdr:col>
      <xdr:colOff>800024</xdr:colOff>
      <xdr:row>1</xdr:row>
      <xdr:rowOff>66599</xdr:rowOff>
    </xdr:to>
    <xdr:pic>
      <xdr:nvPicPr>
        <xdr:cNvPr id="4" name="Picture 2">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a:stretch>
          <a:fillRect/>
        </a:stretch>
      </xdr:blipFill>
      <xdr:spPr>
        <a:xfrm>
          <a:off x="3343275" y="85725"/>
          <a:ext cx="609524" cy="6095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9525</xdr:colOff>
      <xdr:row>0</xdr:row>
      <xdr:rowOff>447675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161925"/>
          <a:ext cx="285750" cy="285750"/>
        </a:xfrm>
        <a:prstGeom prst="rect">
          <a:avLst/>
        </a:prstGeom>
      </xdr:spPr>
    </xdr:pic>
    <xdr:clientData/>
  </xdr:twoCellAnchor>
  <xdr:twoCellAnchor editAs="oneCell">
    <xdr:from>
      <xdr:col>5</xdr:col>
      <xdr:colOff>2752725</xdr:colOff>
      <xdr:row>0</xdr:row>
      <xdr:rowOff>104775</xdr:rowOff>
    </xdr:from>
    <xdr:to>
      <xdr:col>5</xdr:col>
      <xdr:colOff>3209868</xdr:colOff>
      <xdr:row>0</xdr:row>
      <xdr:rowOff>561918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4133850" y="104775"/>
          <a:ext cx="457143" cy="4571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940035" name="bpmDropDownFLU1407" hidden="1">
              <a:extLst>
                <a:ext uri="{63B3BB69-23CF-44E3-9099-C40C66FF867C}">
                  <a14:compatExt spid="_x0000_s940035"/>
                </a:ext>
                <a:ext uri="{FF2B5EF4-FFF2-40B4-BE49-F238E27FC236}">
                  <a16:creationId xmlns:a16="http://schemas.microsoft.com/office/drawing/2014/main" id="{00000000-0008-0000-0E00-00000358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7</xdr:col>
          <xdr:colOff>0</xdr:colOff>
          <xdr:row>55</xdr:row>
          <xdr:rowOff>0</xdr:rowOff>
        </xdr:to>
        <xdr:sp macro="" textlink="">
          <xdr:nvSpPr>
            <xdr:cNvPr id="940039" name="bpmDropDownFLU1736" hidden="1">
              <a:extLst>
                <a:ext uri="{63B3BB69-23CF-44E3-9099-C40C66FF867C}">
                  <a14:compatExt spid="_x0000_s940039"/>
                </a:ext>
                <a:ext uri="{FF2B5EF4-FFF2-40B4-BE49-F238E27FC236}">
                  <a16:creationId xmlns:a16="http://schemas.microsoft.com/office/drawing/2014/main" id="{00000000-0008-0000-0E00-00000758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7</xdr:col>
          <xdr:colOff>0</xdr:colOff>
          <xdr:row>83</xdr:row>
          <xdr:rowOff>0</xdr:rowOff>
        </xdr:to>
        <xdr:sp macro="" textlink="">
          <xdr:nvSpPr>
            <xdr:cNvPr id="940040" name="bpmDropDownFLU2" hidden="1">
              <a:extLst>
                <a:ext uri="{63B3BB69-23CF-44E3-9099-C40C66FF867C}">
                  <a14:compatExt spid="_x0000_s940040"/>
                </a:ext>
                <a:ext uri="{FF2B5EF4-FFF2-40B4-BE49-F238E27FC236}">
                  <a16:creationId xmlns:a16="http://schemas.microsoft.com/office/drawing/2014/main" id="{00000000-0008-0000-0E00-00000858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xdr:from>
      <xdr:col>5</xdr:col>
      <xdr:colOff>1162050</xdr:colOff>
      <xdr:row>2</xdr:row>
      <xdr:rowOff>123825</xdr:rowOff>
    </xdr:from>
    <xdr:to>
      <xdr:col>6</xdr:col>
      <xdr:colOff>428625</xdr:colOff>
      <xdr:row>4</xdr:row>
      <xdr:rowOff>0</xdr:rowOff>
    </xdr:to>
    <xdr:sp macro="" textlink="">
      <xdr:nvSpPr>
        <xdr:cNvPr id="6" name="Auto Shape 1">
          <a:hlinkClick xmlns:r="http://schemas.openxmlformats.org/officeDocument/2006/relationships" r:id="rId3"/>
          <a:extLst>
            <a:ext uri="{FF2B5EF4-FFF2-40B4-BE49-F238E27FC236}">
              <a16:creationId xmlns:a16="http://schemas.microsoft.com/office/drawing/2014/main" id="{00000000-0008-0000-0E00-000006000000}"/>
            </a:ext>
          </a:extLst>
        </xdr:cNvPr>
        <xdr:cNvSpPr/>
      </xdr:nvSpPr>
      <xdr:spPr>
        <a:xfrm>
          <a:off x="3457575" y="628650"/>
          <a:ext cx="2743200" cy="342900"/>
        </a:xfrm>
        <a:prstGeom prst="snip1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DETAILED MICROPLANNING WORKSHEET</a:t>
          </a:r>
        </a:p>
      </xdr:txBody>
    </xdr:sp>
    <xdr:clientData/>
  </xdr:twoCellAnchor>
  <xdr:twoCellAnchor editAs="oneCell">
    <xdr:from>
      <xdr:col>7</xdr:col>
      <xdr:colOff>95250</xdr:colOff>
      <xdr:row>0</xdr:row>
      <xdr:rowOff>95250</xdr:rowOff>
    </xdr:from>
    <xdr:to>
      <xdr:col>7</xdr:col>
      <xdr:colOff>590488</xdr:colOff>
      <xdr:row>2</xdr:row>
      <xdr:rowOff>85663</xdr:rowOff>
    </xdr:to>
    <xdr:pic>
      <xdr:nvPicPr>
        <xdr:cNvPr id="2" name="Picture 2">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4"/>
        <a:stretch>
          <a:fillRect/>
        </a:stretch>
      </xdr:blipFill>
      <xdr:spPr>
        <a:xfrm>
          <a:off x="7058025" y="95250"/>
          <a:ext cx="495238" cy="495238"/>
        </a:xfrm>
        <a:prstGeom prst="rect">
          <a:avLst/>
        </a:prstGeom>
      </xdr:spPr>
    </xdr:pic>
    <xdr:clientData/>
  </xdr:twoCellAnchor>
  <xdr:twoCellAnchor editAs="oneCell">
    <xdr:from>
      <xdr:col>7</xdr:col>
      <xdr:colOff>790635</xdr:colOff>
      <xdr:row>0</xdr:row>
      <xdr:rowOff>66673</xdr:rowOff>
    </xdr:from>
    <xdr:to>
      <xdr:col>8</xdr:col>
      <xdr:colOff>152400</xdr:colOff>
      <xdr:row>2</xdr:row>
      <xdr:rowOff>38038</xdr:rowOff>
    </xdr:to>
    <xdr:pic>
      <xdr:nvPicPr>
        <xdr:cNvPr id="3" name="Picture 3">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5"/>
        <a:stretch>
          <a:fillRect/>
        </a:stretch>
      </xdr:blipFill>
      <xdr:spPr>
        <a:xfrm>
          <a:off x="7753410" y="66673"/>
          <a:ext cx="476190" cy="4761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19050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6</xdr:col>
      <xdr:colOff>1066800</xdr:colOff>
      <xdr:row>0</xdr:row>
      <xdr:rowOff>142875</xdr:rowOff>
    </xdr:from>
    <xdr:to>
      <xdr:col>7</xdr:col>
      <xdr:colOff>523875</xdr:colOff>
      <xdr:row>2</xdr:row>
      <xdr:rowOff>133288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3"/>
        <a:stretch>
          <a:fillRect/>
        </a:stretch>
      </xdr:blipFill>
      <xdr:spPr>
        <a:xfrm>
          <a:off x="6838950" y="142875"/>
          <a:ext cx="571500" cy="4952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19050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7</xdr:col>
      <xdr:colOff>1057275</xdr:colOff>
      <xdr:row>0</xdr:row>
      <xdr:rowOff>104775</xdr:rowOff>
    </xdr:from>
    <xdr:to>
      <xdr:col>8</xdr:col>
      <xdr:colOff>399993</xdr:colOff>
      <xdr:row>2</xdr:row>
      <xdr:rowOff>57093</xdr:rowOff>
    </xdr:to>
    <xdr:pic>
      <xdr:nvPicPr>
        <xdr:cNvPr id="4" name="Picture 2">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3"/>
        <a:stretch>
          <a:fillRect/>
        </a:stretch>
      </xdr:blipFill>
      <xdr:spPr>
        <a:xfrm>
          <a:off x="7105650" y="104775"/>
          <a:ext cx="457143" cy="4571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0</xdr:colOff>
          <xdr:row>30</xdr:row>
          <xdr:rowOff>0</xdr:rowOff>
        </xdr:to>
        <xdr:sp macro="" textlink="">
          <xdr:nvSpPr>
            <xdr:cNvPr id="1046536" name="bpmDropDownFLU41" hidden="1">
              <a:extLst>
                <a:ext uri="{63B3BB69-23CF-44E3-9099-C40C66FF867C}">
                  <a14:compatExt spid="_x0000_s1046536"/>
                </a:ext>
                <a:ext uri="{FF2B5EF4-FFF2-40B4-BE49-F238E27FC236}">
                  <a16:creationId xmlns:a16="http://schemas.microsoft.com/office/drawing/2014/main" id="{00000000-0008-0000-1000-000008F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0</xdr:colOff>
          <xdr:row>60</xdr:row>
          <xdr:rowOff>0</xdr:rowOff>
        </xdr:to>
        <xdr:sp macro="" textlink="">
          <xdr:nvSpPr>
            <xdr:cNvPr id="1046547" name="bpmDropDownFLU42" hidden="1">
              <a:extLst>
                <a:ext uri="{63B3BB69-23CF-44E3-9099-C40C66FF867C}">
                  <a14:compatExt spid="_x0000_s1046547"/>
                </a:ext>
                <a:ext uri="{FF2B5EF4-FFF2-40B4-BE49-F238E27FC236}">
                  <a16:creationId xmlns:a16="http://schemas.microsoft.com/office/drawing/2014/main" id="{00000000-0008-0000-1000-000013F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7</xdr:col>
          <xdr:colOff>0</xdr:colOff>
          <xdr:row>88</xdr:row>
          <xdr:rowOff>0</xdr:rowOff>
        </xdr:to>
        <xdr:sp macro="" textlink="">
          <xdr:nvSpPr>
            <xdr:cNvPr id="1046548" name="bpmDropDownFLU43" hidden="1">
              <a:extLst>
                <a:ext uri="{63B3BB69-23CF-44E3-9099-C40C66FF867C}">
                  <a14:compatExt spid="_x0000_s1046548"/>
                </a:ext>
                <a:ext uri="{FF2B5EF4-FFF2-40B4-BE49-F238E27FC236}">
                  <a16:creationId xmlns:a16="http://schemas.microsoft.com/office/drawing/2014/main" id="{00000000-0008-0000-1000-000014F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1012740" name="bpmDropDownFLU100" hidden="1">
              <a:extLst>
                <a:ext uri="{63B3BB69-23CF-44E3-9099-C40C66FF867C}">
                  <a14:compatExt spid="_x0000_s1012740"/>
                </a:ext>
                <a:ext uri="{FF2B5EF4-FFF2-40B4-BE49-F238E27FC236}">
                  <a16:creationId xmlns:a16="http://schemas.microsoft.com/office/drawing/2014/main" id="{00000000-0008-0000-1100-00000474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0</xdr:colOff>
          <xdr:row>54</xdr:row>
          <xdr:rowOff>0</xdr:rowOff>
        </xdr:to>
        <xdr:sp macro="" textlink="">
          <xdr:nvSpPr>
            <xdr:cNvPr id="1012742" name="bpmDropDownFLU101" hidden="1">
              <a:extLst>
                <a:ext uri="{63B3BB69-23CF-44E3-9099-C40C66FF867C}">
                  <a14:compatExt spid="_x0000_s1012742"/>
                </a:ext>
                <a:ext uri="{FF2B5EF4-FFF2-40B4-BE49-F238E27FC236}">
                  <a16:creationId xmlns:a16="http://schemas.microsoft.com/office/drawing/2014/main" id="{00000000-0008-0000-1100-00000674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7</xdr:col>
          <xdr:colOff>0</xdr:colOff>
          <xdr:row>81</xdr:row>
          <xdr:rowOff>0</xdr:rowOff>
        </xdr:to>
        <xdr:sp macro="" textlink="">
          <xdr:nvSpPr>
            <xdr:cNvPr id="1012744" name="bpmDropDownFLU102" hidden="1">
              <a:extLst>
                <a:ext uri="{63B3BB69-23CF-44E3-9099-C40C66FF867C}">
                  <a14:compatExt spid="_x0000_s1012744"/>
                </a:ext>
                <a:ext uri="{FF2B5EF4-FFF2-40B4-BE49-F238E27FC236}">
                  <a16:creationId xmlns:a16="http://schemas.microsoft.com/office/drawing/2014/main" id="{00000000-0008-0000-1100-00000874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xdr:from>
      <xdr:col>5</xdr:col>
      <xdr:colOff>1628775</xdr:colOff>
      <xdr:row>3</xdr:row>
      <xdr:rowOff>19049</xdr:rowOff>
    </xdr:from>
    <xdr:to>
      <xdr:col>7</xdr:col>
      <xdr:colOff>0</xdr:colOff>
      <xdr:row>4</xdr:row>
      <xdr:rowOff>161925</xdr:rowOff>
    </xdr:to>
    <xdr:sp macro="" textlink="">
      <xdr:nvSpPr>
        <xdr:cNvPr id="7" name="Auto Shape 1">
          <a:hlinkClick xmlns:r="http://schemas.openxmlformats.org/officeDocument/2006/relationships" r:id="rId3"/>
          <a:extLst>
            <a:ext uri="{FF2B5EF4-FFF2-40B4-BE49-F238E27FC236}">
              <a16:creationId xmlns:a16="http://schemas.microsoft.com/office/drawing/2014/main" id="{00000000-0008-0000-1100-000007000000}"/>
            </a:ext>
          </a:extLst>
        </xdr:cNvPr>
        <xdr:cNvSpPr/>
      </xdr:nvSpPr>
      <xdr:spPr>
        <a:xfrm>
          <a:off x="3162300" y="714374"/>
          <a:ext cx="2962275" cy="333376"/>
        </a:xfrm>
        <a:prstGeom prst="snip1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lang="en-US" sz="1100" b="1"/>
            <a:t>DETAILED TRAINING WORKSHEET</a:t>
          </a:r>
        </a:p>
      </xdr:txBody>
    </xdr:sp>
    <xdr:clientData/>
  </xdr:twoCellAnchor>
  <xdr:twoCellAnchor editAs="oneCell">
    <xdr:from>
      <xdr:col>7</xdr:col>
      <xdr:colOff>990600</xdr:colOff>
      <xdr:row>1</xdr:row>
      <xdr:rowOff>38100</xdr:rowOff>
    </xdr:from>
    <xdr:to>
      <xdr:col>8</xdr:col>
      <xdr:colOff>352365</xdr:colOff>
      <xdr:row>3</xdr:row>
      <xdr:rowOff>38040</xdr:rowOff>
    </xdr:to>
    <xdr:pic>
      <xdr:nvPicPr>
        <xdr:cNvPr id="8" name="Picture 3">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a:stretch>
          <a:fillRect/>
        </a:stretch>
      </xdr:blipFill>
      <xdr:spPr>
        <a:xfrm>
          <a:off x="7115175" y="304800"/>
          <a:ext cx="476190" cy="4285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1013764" name="bpmDropDownFLU727" hidden="1">
              <a:extLst>
                <a:ext uri="{63B3BB69-23CF-44E3-9099-C40C66FF867C}">
                  <a14:compatExt spid="_x0000_s1013764"/>
                </a:ext>
                <a:ext uri="{FF2B5EF4-FFF2-40B4-BE49-F238E27FC236}">
                  <a16:creationId xmlns:a16="http://schemas.microsoft.com/office/drawing/2014/main" id="{00000000-0008-0000-1200-0000047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0</xdr:colOff>
          <xdr:row>54</xdr:row>
          <xdr:rowOff>0</xdr:rowOff>
        </xdr:to>
        <xdr:sp macro="" textlink="">
          <xdr:nvSpPr>
            <xdr:cNvPr id="1013765" name="bpmDropDownFLU728" hidden="1">
              <a:extLst>
                <a:ext uri="{63B3BB69-23CF-44E3-9099-C40C66FF867C}">
                  <a14:compatExt spid="_x0000_s1013765"/>
                </a:ext>
                <a:ext uri="{FF2B5EF4-FFF2-40B4-BE49-F238E27FC236}">
                  <a16:creationId xmlns:a16="http://schemas.microsoft.com/office/drawing/2014/main" id="{00000000-0008-0000-1200-0000057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7</xdr:col>
          <xdr:colOff>0</xdr:colOff>
          <xdr:row>81</xdr:row>
          <xdr:rowOff>0</xdr:rowOff>
        </xdr:to>
        <xdr:sp macro="" textlink="">
          <xdr:nvSpPr>
            <xdr:cNvPr id="1013766" name="bpmDropDownFLU729" hidden="1">
              <a:extLst>
                <a:ext uri="{63B3BB69-23CF-44E3-9099-C40C66FF867C}">
                  <a14:compatExt spid="_x0000_s1013766"/>
                </a:ext>
                <a:ext uri="{FF2B5EF4-FFF2-40B4-BE49-F238E27FC236}">
                  <a16:creationId xmlns:a16="http://schemas.microsoft.com/office/drawing/2014/main" id="{00000000-0008-0000-1200-0000067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xdr:from>
      <xdr:col>5</xdr:col>
      <xdr:colOff>1790700</xdr:colOff>
      <xdr:row>2</xdr:row>
      <xdr:rowOff>123825</xdr:rowOff>
    </xdr:from>
    <xdr:to>
      <xdr:col>7</xdr:col>
      <xdr:colOff>114301</xdr:colOff>
      <xdr:row>4</xdr:row>
      <xdr:rowOff>0</xdr:rowOff>
    </xdr:to>
    <xdr:sp macro="" textlink="">
      <xdr:nvSpPr>
        <xdr:cNvPr id="6" name="Auto Shape 1">
          <a:hlinkClick xmlns:r="http://schemas.openxmlformats.org/officeDocument/2006/relationships" r:id="rId3"/>
          <a:extLst>
            <a:ext uri="{FF2B5EF4-FFF2-40B4-BE49-F238E27FC236}">
              <a16:creationId xmlns:a16="http://schemas.microsoft.com/office/drawing/2014/main" id="{00000000-0008-0000-1200-000006000000}"/>
            </a:ext>
          </a:extLst>
        </xdr:cNvPr>
        <xdr:cNvSpPr/>
      </xdr:nvSpPr>
      <xdr:spPr>
        <a:xfrm>
          <a:off x="3171825" y="628650"/>
          <a:ext cx="2990851" cy="371476"/>
        </a:xfrm>
        <a:prstGeom prst="snip1Rect">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t>DETAILED </a:t>
          </a:r>
          <a:r>
            <a:rPr lang="en-US" sz="1100" b="1" baseline="0"/>
            <a:t>(IEC) /  MOBILISATION WORKSHEET</a:t>
          </a:r>
          <a:endParaRPr lang="en-US" sz="1100" b="1"/>
        </a:p>
      </xdr:txBody>
    </xdr:sp>
    <xdr:clientData/>
  </xdr:twoCellAnchor>
  <xdr:twoCellAnchor editAs="oneCell">
    <xdr:from>
      <xdr:col>7</xdr:col>
      <xdr:colOff>1104900</xdr:colOff>
      <xdr:row>0</xdr:row>
      <xdr:rowOff>171450</xdr:rowOff>
    </xdr:from>
    <xdr:to>
      <xdr:col>8</xdr:col>
      <xdr:colOff>485713</xdr:colOff>
      <xdr:row>2</xdr:row>
      <xdr:rowOff>161863</xdr:rowOff>
    </xdr:to>
    <xdr:pic>
      <xdr:nvPicPr>
        <xdr:cNvPr id="2" name="Picture 2">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4"/>
        <a:stretch>
          <a:fillRect/>
        </a:stretch>
      </xdr:blipFill>
      <xdr:spPr>
        <a:xfrm>
          <a:off x="7153275" y="171450"/>
          <a:ext cx="495238" cy="49523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7</xdr:col>
          <xdr:colOff>0</xdr:colOff>
          <xdr:row>67</xdr:row>
          <xdr:rowOff>0</xdr:rowOff>
        </xdr:to>
        <xdr:sp macro="" textlink="">
          <xdr:nvSpPr>
            <xdr:cNvPr id="966663" name="bpmDropDownFLU9" hidden="1">
              <a:extLst>
                <a:ext uri="{63B3BB69-23CF-44E3-9099-C40C66FF867C}">
                  <a14:compatExt spid="_x0000_s966663"/>
                </a:ext>
                <a:ext uri="{FF2B5EF4-FFF2-40B4-BE49-F238E27FC236}">
                  <a16:creationId xmlns:a16="http://schemas.microsoft.com/office/drawing/2014/main" id="{00000000-0008-0000-1300-000007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7</xdr:col>
          <xdr:colOff>0</xdr:colOff>
          <xdr:row>136</xdr:row>
          <xdr:rowOff>0</xdr:rowOff>
        </xdr:to>
        <xdr:sp macro="" textlink="">
          <xdr:nvSpPr>
            <xdr:cNvPr id="966671" name="bpmDropDownFLU3" hidden="1">
              <a:extLst>
                <a:ext uri="{63B3BB69-23CF-44E3-9099-C40C66FF867C}">
                  <a14:compatExt spid="_x0000_s966671"/>
                </a:ext>
                <a:ext uri="{FF2B5EF4-FFF2-40B4-BE49-F238E27FC236}">
                  <a16:creationId xmlns:a16="http://schemas.microsoft.com/office/drawing/2014/main" id="{00000000-0008-0000-1300-00000F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206</xdr:row>
          <xdr:rowOff>0</xdr:rowOff>
        </xdr:from>
        <xdr:to>
          <xdr:col>7</xdr:col>
          <xdr:colOff>0</xdr:colOff>
          <xdr:row>207</xdr:row>
          <xdr:rowOff>0</xdr:rowOff>
        </xdr:to>
        <xdr:sp macro="" textlink="">
          <xdr:nvSpPr>
            <xdr:cNvPr id="966672" name="bpmDropDownFLU4" hidden="1">
              <a:extLst>
                <a:ext uri="{63B3BB69-23CF-44E3-9099-C40C66FF867C}">
                  <a14:compatExt spid="_x0000_s966672"/>
                </a:ext>
                <a:ext uri="{FF2B5EF4-FFF2-40B4-BE49-F238E27FC236}">
                  <a16:creationId xmlns:a16="http://schemas.microsoft.com/office/drawing/2014/main" id="{00000000-0008-0000-1300-000010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xdr:from>
      <xdr:col>5</xdr:col>
      <xdr:colOff>2124075</xdr:colOff>
      <xdr:row>2</xdr:row>
      <xdr:rowOff>66675</xdr:rowOff>
    </xdr:from>
    <xdr:to>
      <xdr:col>7</xdr:col>
      <xdr:colOff>1343025</xdr:colOff>
      <xdr:row>4</xdr:row>
      <xdr:rowOff>0</xdr:rowOff>
    </xdr:to>
    <xdr:sp macro="" textlink="">
      <xdr:nvSpPr>
        <xdr:cNvPr id="6" name="Auto Shape 2">
          <a:hlinkClick xmlns:r="http://schemas.openxmlformats.org/officeDocument/2006/relationships" r:id="rId3"/>
          <a:extLst>
            <a:ext uri="{FF2B5EF4-FFF2-40B4-BE49-F238E27FC236}">
              <a16:creationId xmlns:a16="http://schemas.microsoft.com/office/drawing/2014/main" id="{00000000-0008-0000-1300-000006000000}"/>
            </a:ext>
          </a:extLst>
        </xdr:cNvPr>
        <xdr:cNvSpPr/>
      </xdr:nvSpPr>
      <xdr:spPr>
        <a:xfrm>
          <a:off x="4419600" y="571500"/>
          <a:ext cx="3886200" cy="323849"/>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DETAILED  ROUTINE SERVICE DELIVERY WORKSHEETS </a:t>
          </a:r>
        </a:p>
      </xdr:txBody>
    </xdr:sp>
    <xdr:clientData/>
  </xdr:twoCellAnchor>
  <xdr:twoCellAnchor>
    <xdr:from>
      <xdr:col>5</xdr:col>
      <xdr:colOff>2124075</xdr:colOff>
      <xdr:row>4</xdr:row>
      <xdr:rowOff>0</xdr:rowOff>
    </xdr:from>
    <xdr:to>
      <xdr:col>7</xdr:col>
      <xdr:colOff>1343025</xdr:colOff>
      <xdr:row>4</xdr:row>
      <xdr:rowOff>9526</xdr:rowOff>
    </xdr:to>
    <xdr:sp macro="" textlink="">
      <xdr:nvSpPr>
        <xdr:cNvPr id="7" name="Auto Shape 1">
          <a:hlinkClick xmlns:r="http://schemas.openxmlformats.org/officeDocument/2006/relationships" r:id="rId4"/>
          <a:extLst>
            <a:ext uri="{FF2B5EF4-FFF2-40B4-BE49-F238E27FC236}">
              <a16:creationId xmlns:a16="http://schemas.microsoft.com/office/drawing/2014/main" id="{00000000-0008-0000-1300-000007000000}"/>
            </a:ext>
          </a:extLst>
        </xdr:cNvPr>
        <xdr:cNvSpPr/>
      </xdr:nvSpPr>
      <xdr:spPr>
        <a:xfrm>
          <a:off x="4419600" y="971550"/>
          <a:ext cx="3886200" cy="304801"/>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DETAILED  SPECIAL IMM.UNIZATION</a:t>
          </a:r>
          <a:r>
            <a:rPr lang="en-US" sz="1100" b="1" baseline="0">
              <a:solidFill>
                <a:sysClr val="windowText" lastClr="000000"/>
              </a:solidFill>
            </a:rPr>
            <a:t> </a:t>
          </a:r>
          <a:r>
            <a:rPr lang="en-US" sz="1100" b="1">
              <a:solidFill>
                <a:sysClr val="windowText" lastClr="000000"/>
              </a:solidFill>
            </a:rPr>
            <a:t>ACTIVITY WORKSHEETS</a:t>
          </a:r>
        </a:p>
        <a:p>
          <a:pPr algn="l"/>
          <a:endParaRPr lang="en-US" sz="1100" b="1">
            <a:solidFill>
              <a:sysClr val="windowText" lastClr="000000"/>
            </a:solidFill>
          </a:endParaRPr>
        </a:p>
      </xdr:txBody>
    </xdr:sp>
    <xdr:clientData/>
  </xdr:twoCellAnchor>
  <xdr:twoCellAnchor>
    <xdr:from>
      <xdr:col>8</xdr:col>
      <xdr:colOff>361950</xdr:colOff>
      <xdr:row>0</xdr:row>
      <xdr:rowOff>161925</xdr:rowOff>
    </xdr:from>
    <xdr:to>
      <xdr:col>8</xdr:col>
      <xdr:colOff>1295343</xdr:colOff>
      <xdr:row>2</xdr:row>
      <xdr:rowOff>123768</xdr:rowOff>
    </xdr:to>
    <xdr:grpSp>
      <xdr:nvGrpSpPr>
        <xdr:cNvPr id="4" name="Group 3">
          <a:extLst>
            <a:ext uri="{FF2B5EF4-FFF2-40B4-BE49-F238E27FC236}">
              <a16:creationId xmlns:a16="http://schemas.microsoft.com/office/drawing/2014/main" id="{00000000-0008-0000-1300-000004000000}"/>
            </a:ext>
          </a:extLst>
        </xdr:cNvPr>
        <xdr:cNvGrpSpPr/>
      </xdr:nvGrpSpPr>
      <xdr:grpSpPr>
        <a:xfrm>
          <a:off x="7720965" y="163830"/>
          <a:ext cx="651453" cy="457143"/>
          <a:chOff x="8743950" y="161925"/>
          <a:chExt cx="933393" cy="466668"/>
        </a:xfrm>
      </xdr:grpSpPr>
      <xdr:pic>
        <xdr:nvPicPr>
          <xdr:cNvPr id="2" name="Picture 2">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5"/>
          <a:stretch>
            <a:fillRect/>
          </a:stretch>
        </xdr:blipFill>
        <xdr:spPr>
          <a:xfrm>
            <a:off x="9220200" y="171450"/>
            <a:ext cx="457143" cy="457143"/>
          </a:xfrm>
          <a:prstGeom prst="rect">
            <a:avLst/>
          </a:prstGeom>
        </xdr:spPr>
      </xdr:pic>
      <xdr:pic>
        <xdr:nvPicPr>
          <xdr:cNvPr id="3" name="Picture 3">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6"/>
          <a:stretch>
            <a:fillRect/>
          </a:stretch>
        </xdr:blipFill>
        <xdr:spPr>
          <a:xfrm>
            <a:off x="8743950" y="161925"/>
            <a:ext cx="457143" cy="457143"/>
          </a:xfrm>
          <a:prstGeom prst="rect">
            <a:avLst/>
          </a:prstGeom>
        </xdr:spPr>
      </xdr:pic>
    </xdr:grpSp>
    <xdr:clientData/>
  </xdr:twoCellAnchor>
  <xdr:twoCellAnchor editAs="oneCell">
    <xdr:from>
      <xdr:col>8</xdr:col>
      <xdr:colOff>1409700</xdr:colOff>
      <xdr:row>0</xdr:row>
      <xdr:rowOff>0</xdr:rowOff>
    </xdr:from>
    <xdr:to>
      <xdr:col>9</xdr:col>
      <xdr:colOff>609524</xdr:colOff>
      <xdr:row>2</xdr:row>
      <xdr:rowOff>104699</xdr:rowOff>
    </xdr:to>
    <xdr:pic>
      <xdr:nvPicPr>
        <xdr:cNvPr id="8" name="Picture 2">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7"/>
        <a:stretch>
          <a:fillRect/>
        </a:stretch>
      </xdr:blipFill>
      <xdr:spPr>
        <a:xfrm>
          <a:off x="9944100" y="0"/>
          <a:ext cx="609524" cy="6095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272</xdr:row>
          <xdr:rowOff>0</xdr:rowOff>
        </xdr:from>
        <xdr:to>
          <xdr:col>7</xdr:col>
          <xdr:colOff>0</xdr:colOff>
          <xdr:row>273</xdr:row>
          <xdr:rowOff>0</xdr:rowOff>
        </xdr:to>
        <xdr:sp macro="" textlink="">
          <xdr:nvSpPr>
            <xdr:cNvPr id="966676" name="bpmDropDownFLU1397" hidden="1">
              <a:extLst>
                <a:ext uri="{63B3BB69-23CF-44E3-9099-C40C66FF867C}">
                  <a14:compatExt spid="_x0000_s966676"/>
                </a:ext>
                <a:ext uri="{FF2B5EF4-FFF2-40B4-BE49-F238E27FC236}">
                  <a16:creationId xmlns:a16="http://schemas.microsoft.com/office/drawing/2014/main" id="{00000000-0008-0000-1300-000014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337</xdr:row>
          <xdr:rowOff>0</xdr:rowOff>
        </xdr:from>
        <xdr:to>
          <xdr:col>7</xdr:col>
          <xdr:colOff>0</xdr:colOff>
          <xdr:row>338</xdr:row>
          <xdr:rowOff>0</xdr:rowOff>
        </xdr:to>
        <xdr:sp macro="" textlink="">
          <xdr:nvSpPr>
            <xdr:cNvPr id="966677" name="bpmDropDownFLU1398" hidden="1">
              <a:extLst>
                <a:ext uri="{63B3BB69-23CF-44E3-9099-C40C66FF867C}">
                  <a14:compatExt spid="_x0000_s966677"/>
                </a:ext>
                <a:ext uri="{FF2B5EF4-FFF2-40B4-BE49-F238E27FC236}">
                  <a16:creationId xmlns:a16="http://schemas.microsoft.com/office/drawing/2014/main" id="{00000000-0008-0000-1300-000015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404</xdr:row>
          <xdr:rowOff>0</xdr:rowOff>
        </xdr:from>
        <xdr:to>
          <xdr:col>7</xdr:col>
          <xdr:colOff>0</xdr:colOff>
          <xdr:row>405</xdr:row>
          <xdr:rowOff>0</xdr:rowOff>
        </xdr:to>
        <xdr:sp macro="" textlink="">
          <xdr:nvSpPr>
            <xdr:cNvPr id="966678" name="bpmDropDownFLU1399" hidden="1">
              <a:extLst>
                <a:ext uri="{63B3BB69-23CF-44E3-9099-C40C66FF867C}">
                  <a14:compatExt spid="_x0000_s966678"/>
                </a:ext>
                <a:ext uri="{FF2B5EF4-FFF2-40B4-BE49-F238E27FC236}">
                  <a16:creationId xmlns:a16="http://schemas.microsoft.com/office/drawing/2014/main" id="{00000000-0008-0000-1300-000016C00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3343275</xdr:colOff>
      <xdr:row>79</xdr:row>
      <xdr:rowOff>66675</xdr:rowOff>
    </xdr:from>
    <xdr:to>
      <xdr:col>8</xdr:col>
      <xdr:colOff>101312</xdr:colOff>
      <xdr:row>82</xdr:row>
      <xdr:rowOff>180975</xdr:rowOff>
    </xdr:to>
    <xdr:sp macro="" textlink="">
      <xdr:nvSpPr>
        <xdr:cNvPr id="16" name="bpmShapeFLU1400">
          <a:extLst>
            <a:ext uri="{FF2B5EF4-FFF2-40B4-BE49-F238E27FC236}">
              <a16:creationId xmlns:a16="http://schemas.microsoft.com/office/drawing/2014/main" id="{00000000-0008-0000-1300-000010000000}"/>
            </a:ext>
          </a:extLst>
        </xdr:cNvPr>
        <xdr:cNvSpPr/>
      </xdr:nvSpPr>
      <xdr:spPr>
        <a:xfrm>
          <a:off x="5791200" y="15506700"/>
          <a:ext cx="2463512"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3286125</xdr:colOff>
      <xdr:row>150</xdr:row>
      <xdr:rowOff>76200</xdr:rowOff>
    </xdr:from>
    <xdr:to>
      <xdr:col>8</xdr:col>
      <xdr:colOff>60787</xdr:colOff>
      <xdr:row>153</xdr:row>
      <xdr:rowOff>171450</xdr:rowOff>
    </xdr:to>
    <xdr:sp macro="" textlink="">
      <xdr:nvSpPr>
        <xdr:cNvPr id="31" name="bpmShapeFLU1401">
          <a:extLst>
            <a:ext uri="{FF2B5EF4-FFF2-40B4-BE49-F238E27FC236}">
              <a16:creationId xmlns:a16="http://schemas.microsoft.com/office/drawing/2014/main" id="{00000000-0008-0000-1300-00001F000000}"/>
            </a:ext>
          </a:extLst>
        </xdr:cNvPr>
        <xdr:cNvSpPr/>
      </xdr:nvSpPr>
      <xdr:spPr>
        <a:xfrm>
          <a:off x="5734050" y="29698950"/>
          <a:ext cx="2480137" cy="7239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3305175</xdr:colOff>
      <xdr:row>218</xdr:row>
      <xdr:rowOff>76200</xdr:rowOff>
    </xdr:from>
    <xdr:to>
      <xdr:col>8</xdr:col>
      <xdr:colOff>74295</xdr:colOff>
      <xdr:row>221</xdr:row>
      <xdr:rowOff>161925</xdr:rowOff>
    </xdr:to>
    <xdr:sp macro="" textlink="">
      <xdr:nvSpPr>
        <xdr:cNvPr id="32" name="bpmShapeFLU1402">
          <a:extLst>
            <a:ext uri="{FF2B5EF4-FFF2-40B4-BE49-F238E27FC236}">
              <a16:creationId xmlns:a16="http://schemas.microsoft.com/office/drawing/2014/main" id="{00000000-0008-0000-1300-000020000000}"/>
            </a:ext>
          </a:extLst>
        </xdr:cNvPr>
        <xdr:cNvSpPr/>
      </xdr:nvSpPr>
      <xdr:spPr>
        <a:xfrm>
          <a:off x="5753100" y="43338750"/>
          <a:ext cx="2474595"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3409950</xdr:colOff>
      <xdr:row>284</xdr:row>
      <xdr:rowOff>133350</xdr:rowOff>
    </xdr:from>
    <xdr:to>
      <xdr:col>8</xdr:col>
      <xdr:colOff>148590</xdr:colOff>
      <xdr:row>288</xdr:row>
      <xdr:rowOff>28575</xdr:rowOff>
    </xdr:to>
    <xdr:sp macro="" textlink="">
      <xdr:nvSpPr>
        <xdr:cNvPr id="33" name="bpmShapeFLU1403">
          <a:extLst>
            <a:ext uri="{FF2B5EF4-FFF2-40B4-BE49-F238E27FC236}">
              <a16:creationId xmlns:a16="http://schemas.microsoft.com/office/drawing/2014/main" id="{00000000-0008-0000-1300-000021000000}"/>
            </a:ext>
          </a:extLst>
        </xdr:cNvPr>
        <xdr:cNvSpPr/>
      </xdr:nvSpPr>
      <xdr:spPr>
        <a:xfrm>
          <a:off x="5857875" y="56654700"/>
          <a:ext cx="2444115"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3448050</xdr:colOff>
      <xdr:row>350</xdr:row>
      <xdr:rowOff>38100</xdr:rowOff>
    </xdr:from>
    <xdr:to>
      <xdr:col>8</xdr:col>
      <xdr:colOff>175606</xdr:colOff>
      <xdr:row>353</xdr:row>
      <xdr:rowOff>152400</xdr:rowOff>
    </xdr:to>
    <xdr:sp macro="" textlink="">
      <xdr:nvSpPr>
        <xdr:cNvPr id="34" name="bpmShapeFLU1404">
          <a:extLst>
            <a:ext uri="{FF2B5EF4-FFF2-40B4-BE49-F238E27FC236}">
              <a16:creationId xmlns:a16="http://schemas.microsoft.com/office/drawing/2014/main" id="{00000000-0008-0000-1300-000022000000}"/>
            </a:ext>
          </a:extLst>
        </xdr:cNvPr>
        <xdr:cNvSpPr/>
      </xdr:nvSpPr>
      <xdr:spPr>
        <a:xfrm>
          <a:off x="5895975" y="69846825"/>
          <a:ext cx="2433031"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3409950</xdr:colOff>
      <xdr:row>416</xdr:row>
      <xdr:rowOff>76200</xdr:rowOff>
    </xdr:from>
    <xdr:to>
      <xdr:col>8</xdr:col>
      <xdr:colOff>148590</xdr:colOff>
      <xdr:row>419</xdr:row>
      <xdr:rowOff>161925</xdr:rowOff>
    </xdr:to>
    <xdr:sp macro="" textlink="">
      <xdr:nvSpPr>
        <xdr:cNvPr id="35" name="bpmShapeFLU1405">
          <a:extLst>
            <a:ext uri="{FF2B5EF4-FFF2-40B4-BE49-F238E27FC236}">
              <a16:creationId xmlns:a16="http://schemas.microsoft.com/office/drawing/2014/main" id="{00000000-0008-0000-1300-000023000000}"/>
            </a:ext>
          </a:extLst>
        </xdr:cNvPr>
        <xdr:cNvSpPr/>
      </xdr:nvSpPr>
      <xdr:spPr>
        <a:xfrm>
          <a:off x="5857875" y="83115150"/>
          <a:ext cx="2444115" cy="714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0</xdr:colOff>
          <xdr:row>27</xdr:row>
          <xdr:rowOff>0</xdr:rowOff>
        </xdr:to>
        <xdr:sp macro="" textlink="">
          <xdr:nvSpPr>
            <xdr:cNvPr id="993284" name="bpmDropDownFLU170" hidden="1">
              <a:extLst>
                <a:ext uri="{63B3BB69-23CF-44E3-9099-C40C66FF867C}">
                  <a14:compatExt spid="_x0000_s993284"/>
                </a:ext>
                <a:ext uri="{FF2B5EF4-FFF2-40B4-BE49-F238E27FC236}">
                  <a16:creationId xmlns:a16="http://schemas.microsoft.com/office/drawing/2014/main" id="{00000000-0008-0000-1400-0000042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0</xdr:colOff>
          <xdr:row>54</xdr:row>
          <xdr:rowOff>0</xdr:rowOff>
        </xdr:to>
        <xdr:sp macro="" textlink="">
          <xdr:nvSpPr>
            <xdr:cNvPr id="993285" name="bpmDropDownFLU171" hidden="1">
              <a:extLst>
                <a:ext uri="{63B3BB69-23CF-44E3-9099-C40C66FF867C}">
                  <a14:compatExt spid="_x0000_s993285"/>
                </a:ext>
                <a:ext uri="{FF2B5EF4-FFF2-40B4-BE49-F238E27FC236}">
                  <a16:creationId xmlns:a16="http://schemas.microsoft.com/office/drawing/2014/main" id="{00000000-0008-0000-1400-0000052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7</xdr:col>
          <xdr:colOff>0</xdr:colOff>
          <xdr:row>81</xdr:row>
          <xdr:rowOff>0</xdr:rowOff>
        </xdr:to>
        <xdr:sp macro="" textlink="">
          <xdr:nvSpPr>
            <xdr:cNvPr id="993286" name="bpmDropDownFLU172" hidden="1">
              <a:extLst>
                <a:ext uri="{63B3BB69-23CF-44E3-9099-C40C66FF867C}">
                  <a14:compatExt spid="_x0000_s993286"/>
                </a:ext>
                <a:ext uri="{FF2B5EF4-FFF2-40B4-BE49-F238E27FC236}">
                  <a16:creationId xmlns:a16="http://schemas.microsoft.com/office/drawing/2014/main" id="{00000000-0008-0000-1400-0000062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xdr:from>
      <xdr:col>5</xdr:col>
      <xdr:colOff>1771650</xdr:colOff>
      <xdr:row>2</xdr:row>
      <xdr:rowOff>133350</xdr:rowOff>
    </xdr:from>
    <xdr:to>
      <xdr:col>7</xdr:col>
      <xdr:colOff>57151</xdr:colOff>
      <xdr:row>4</xdr:row>
      <xdr:rowOff>0</xdr:rowOff>
    </xdr:to>
    <xdr:sp macro="" textlink="">
      <xdr:nvSpPr>
        <xdr:cNvPr id="6" name="Auto Shape 1">
          <a:hlinkClick xmlns:r="http://schemas.openxmlformats.org/officeDocument/2006/relationships" r:id="rId3"/>
          <a:extLst>
            <a:ext uri="{FF2B5EF4-FFF2-40B4-BE49-F238E27FC236}">
              <a16:creationId xmlns:a16="http://schemas.microsoft.com/office/drawing/2014/main" id="{00000000-0008-0000-1400-000006000000}"/>
            </a:ext>
          </a:extLst>
        </xdr:cNvPr>
        <xdr:cNvSpPr/>
      </xdr:nvSpPr>
      <xdr:spPr>
        <a:xfrm>
          <a:off x="4067175" y="638175"/>
          <a:ext cx="2952751" cy="381000"/>
        </a:xfrm>
        <a:prstGeom prst="snip1Rect">
          <a:avLst/>
        </a:prstGeom>
        <a:solidFill>
          <a:schemeClr val="accent6">
            <a:lumMod val="75000"/>
          </a:schemeClr>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DETAILED SUPERVISION</a:t>
          </a:r>
          <a:r>
            <a:rPr lang="en-US" sz="1100" b="1" baseline="0">
              <a:solidFill>
                <a:schemeClr val="bg1"/>
              </a:solidFill>
            </a:rPr>
            <a:t>  WORKSHEET</a:t>
          </a:r>
          <a:endParaRPr lang="en-US" sz="1100" b="1">
            <a:solidFill>
              <a:schemeClr val="bg1"/>
            </a:solidFill>
          </a:endParaRPr>
        </a:p>
      </xdr:txBody>
    </xdr:sp>
    <xdr:clientData/>
  </xdr:twoCellAnchor>
  <xdr:twoCellAnchor editAs="oneCell">
    <xdr:from>
      <xdr:col>7</xdr:col>
      <xdr:colOff>485775</xdr:colOff>
      <xdr:row>1</xdr:row>
      <xdr:rowOff>190500</xdr:rowOff>
    </xdr:from>
    <xdr:to>
      <xdr:col>7</xdr:col>
      <xdr:colOff>981013</xdr:colOff>
      <xdr:row>4</xdr:row>
      <xdr:rowOff>66613</xdr:rowOff>
    </xdr:to>
    <xdr:pic>
      <xdr:nvPicPr>
        <xdr:cNvPr id="2" name="Picture 2">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4"/>
        <a:stretch>
          <a:fillRect/>
        </a:stretch>
      </xdr:blipFill>
      <xdr:spPr>
        <a:xfrm>
          <a:off x="7448550" y="457200"/>
          <a:ext cx="495238" cy="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19050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8</xdr:col>
      <xdr:colOff>200025</xdr:colOff>
      <xdr:row>1</xdr:row>
      <xdr:rowOff>190500</xdr:rowOff>
    </xdr:from>
    <xdr:to>
      <xdr:col>8</xdr:col>
      <xdr:colOff>542925</xdr:colOff>
      <xdr:row>3</xdr:row>
      <xdr:rowOff>104775</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1438275" y="457200"/>
          <a:ext cx="342900" cy="3429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0</xdr:rowOff>
        </xdr:to>
        <xdr:sp macro="" textlink="">
          <xdr:nvSpPr>
            <xdr:cNvPr id="994308" name="bpmDropDownFLU541" hidden="1">
              <a:extLst>
                <a:ext uri="{63B3BB69-23CF-44E3-9099-C40C66FF867C}">
                  <a14:compatExt spid="_x0000_s994308"/>
                </a:ext>
                <a:ext uri="{FF2B5EF4-FFF2-40B4-BE49-F238E27FC236}">
                  <a16:creationId xmlns:a16="http://schemas.microsoft.com/office/drawing/2014/main" id="{00000000-0008-0000-1500-000004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0</xdr:colOff>
          <xdr:row>60</xdr:row>
          <xdr:rowOff>0</xdr:rowOff>
        </xdr:to>
        <xdr:sp macro="" textlink="">
          <xdr:nvSpPr>
            <xdr:cNvPr id="994309" name="bpmDropDownFLU542" hidden="1">
              <a:extLst>
                <a:ext uri="{63B3BB69-23CF-44E3-9099-C40C66FF867C}">
                  <a14:compatExt spid="_x0000_s994309"/>
                </a:ext>
                <a:ext uri="{FF2B5EF4-FFF2-40B4-BE49-F238E27FC236}">
                  <a16:creationId xmlns:a16="http://schemas.microsoft.com/office/drawing/2014/main" id="{00000000-0008-0000-1500-000005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7</xdr:col>
          <xdr:colOff>0</xdr:colOff>
          <xdr:row>87</xdr:row>
          <xdr:rowOff>0</xdr:rowOff>
        </xdr:to>
        <xdr:sp macro="" textlink="">
          <xdr:nvSpPr>
            <xdr:cNvPr id="994310" name="bpmDropDownFLU543" hidden="1">
              <a:extLst>
                <a:ext uri="{63B3BB69-23CF-44E3-9099-C40C66FF867C}">
                  <a14:compatExt spid="_x0000_s994310"/>
                </a:ext>
                <a:ext uri="{FF2B5EF4-FFF2-40B4-BE49-F238E27FC236}">
                  <a16:creationId xmlns:a16="http://schemas.microsoft.com/office/drawing/2014/main" id="{00000000-0008-0000-1500-000006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1</xdr:row>
      <xdr:rowOff>19050</xdr:rowOff>
    </xdr:to>
    <xdr:pic>
      <xdr:nvPicPr>
        <xdr:cNvPr id="5" name="Picture 1">
          <a:hlinkClick xmlns:r="http://schemas.openxmlformats.org/officeDocument/2006/relationships" r:id="rId1"/>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7</xdr:col>
          <xdr:colOff>0</xdr:colOff>
          <xdr:row>114</xdr:row>
          <xdr:rowOff>0</xdr:rowOff>
        </xdr:to>
        <xdr:sp macro="" textlink="">
          <xdr:nvSpPr>
            <xdr:cNvPr id="994314" name="bpmDropDownFLU683" hidden="1">
              <a:extLst>
                <a:ext uri="{63B3BB69-23CF-44E3-9099-C40C66FF867C}">
                  <a14:compatExt spid="_x0000_s994314"/>
                </a:ext>
                <a:ext uri="{FF2B5EF4-FFF2-40B4-BE49-F238E27FC236}">
                  <a16:creationId xmlns:a16="http://schemas.microsoft.com/office/drawing/2014/main" id="{00000000-0008-0000-1500-00000A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7</xdr:col>
          <xdr:colOff>0</xdr:colOff>
          <xdr:row>149</xdr:row>
          <xdr:rowOff>0</xdr:rowOff>
        </xdr:to>
        <xdr:sp macro="" textlink="">
          <xdr:nvSpPr>
            <xdr:cNvPr id="994315" name="bpmDropDownFLU691" hidden="1">
              <a:extLst>
                <a:ext uri="{63B3BB69-23CF-44E3-9099-C40C66FF867C}">
                  <a14:compatExt spid="_x0000_s994315"/>
                </a:ext>
                <a:ext uri="{FF2B5EF4-FFF2-40B4-BE49-F238E27FC236}">
                  <a16:creationId xmlns:a16="http://schemas.microsoft.com/office/drawing/2014/main" id="{00000000-0008-0000-1500-00000B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185</xdr:row>
          <xdr:rowOff>0</xdr:rowOff>
        </xdr:from>
        <xdr:to>
          <xdr:col>7</xdr:col>
          <xdr:colOff>0</xdr:colOff>
          <xdr:row>186</xdr:row>
          <xdr:rowOff>0</xdr:rowOff>
        </xdr:to>
        <xdr:sp macro="" textlink="">
          <xdr:nvSpPr>
            <xdr:cNvPr id="994316" name="bpmDropDownFLU707" hidden="1">
              <a:extLst>
                <a:ext uri="{63B3BB69-23CF-44E3-9099-C40C66FF867C}">
                  <a14:compatExt spid="_x0000_s994316"/>
                </a:ext>
                <a:ext uri="{FF2B5EF4-FFF2-40B4-BE49-F238E27FC236}">
                  <a16:creationId xmlns:a16="http://schemas.microsoft.com/office/drawing/2014/main" id="{00000000-0008-0000-1500-00000C2C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6</xdr:col>
      <xdr:colOff>0</xdr:colOff>
      <xdr:row>1</xdr:row>
      <xdr:rowOff>0</xdr:rowOff>
    </xdr:from>
    <xdr:to>
      <xdr:col>6</xdr:col>
      <xdr:colOff>457143</xdr:colOff>
      <xdr:row>3</xdr:row>
      <xdr:rowOff>28518</xdr:rowOff>
    </xdr:to>
    <xdr:pic>
      <xdr:nvPicPr>
        <xdr:cNvPr id="10" name="Picture 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a:stretch>
          <a:fillRect/>
        </a:stretch>
      </xdr:blipFill>
      <xdr:spPr>
        <a:xfrm>
          <a:off x="5924550" y="266700"/>
          <a:ext cx="457143" cy="4571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0</xdr:row>
      <xdr:rowOff>285750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5</xdr:col>
      <xdr:colOff>180975</xdr:colOff>
      <xdr:row>0</xdr:row>
      <xdr:rowOff>76200</xdr:rowOff>
    </xdr:from>
    <xdr:to>
      <xdr:col>5</xdr:col>
      <xdr:colOff>676213</xdr:colOff>
      <xdr:row>0</xdr:row>
      <xdr:rowOff>571438</xdr:rowOff>
    </xdr:to>
    <xdr:pic>
      <xdr:nvPicPr>
        <xdr:cNvPr id="2" name="Picture 2">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3"/>
        <a:stretch>
          <a:fillRect/>
        </a:stretch>
      </xdr:blipFill>
      <xdr:spPr>
        <a:xfrm>
          <a:off x="2476500" y="76200"/>
          <a:ext cx="495238" cy="495238"/>
        </a:xfrm>
        <a:prstGeom prst="rect">
          <a:avLst/>
        </a:prstGeom>
      </xdr:spPr>
    </xdr:pic>
    <xdr:clientData/>
  </xdr:twoCellAnchor>
  <xdr:twoCellAnchor>
    <xdr:from>
      <xdr:col>5</xdr:col>
      <xdr:colOff>3238500</xdr:colOff>
      <xdr:row>1</xdr:row>
      <xdr:rowOff>38100</xdr:rowOff>
    </xdr:from>
    <xdr:to>
      <xdr:col>8</xdr:col>
      <xdr:colOff>161924</xdr:colOff>
      <xdr:row>2</xdr:row>
      <xdr:rowOff>171450</xdr:rowOff>
    </xdr:to>
    <xdr:sp macro="" textlink="">
      <xdr:nvSpPr>
        <xdr:cNvPr id="8" name="Auto Shape 1">
          <a:hlinkClick xmlns:r="http://schemas.openxmlformats.org/officeDocument/2006/relationships" r:id="rId4"/>
          <a:extLst>
            <a:ext uri="{FF2B5EF4-FFF2-40B4-BE49-F238E27FC236}">
              <a16:creationId xmlns:a16="http://schemas.microsoft.com/office/drawing/2014/main" id="{00000000-0008-0000-1600-000008000000}"/>
            </a:ext>
          </a:extLst>
        </xdr:cNvPr>
        <xdr:cNvSpPr/>
      </xdr:nvSpPr>
      <xdr:spPr>
        <a:xfrm>
          <a:off x="5534025" y="666750"/>
          <a:ext cx="3009899" cy="371475"/>
        </a:xfrm>
        <a:prstGeom prst="snip1Rect">
          <a:avLst/>
        </a:prstGeom>
        <a:solidFill>
          <a:srgbClr val="1F497D"/>
        </a:solidFill>
        <a:ln w="38100" cap="flat" cmpd="sng" algn="ctr">
          <a:solidFill>
            <a:srgbClr val="FFFFFF"/>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Light"/>
              <a:cs typeface="Calibri Light"/>
            </a:rPr>
            <a:t>DETAILED  COLD CHAIN EXPANSION</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7</xdr:col>
          <xdr:colOff>0</xdr:colOff>
          <xdr:row>74</xdr:row>
          <xdr:rowOff>0</xdr:rowOff>
        </xdr:to>
        <xdr:sp macro="" textlink="">
          <xdr:nvSpPr>
            <xdr:cNvPr id="908310" name="bpmDropDownFLU31" hidden="1">
              <a:extLst>
                <a:ext uri="{63B3BB69-23CF-44E3-9099-C40C66FF867C}">
                  <a14:compatExt spid="_x0000_s908310"/>
                </a:ext>
                <a:ext uri="{FF2B5EF4-FFF2-40B4-BE49-F238E27FC236}">
                  <a16:creationId xmlns:a16="http://schemas.microsoft.com/office/drawing/2014/main" id="{00000000-0008-0000-1600-000016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164</xdr:row>
          <xdr:rowOff>0</xdr:rowOff>
        </xdr:from>
        <xdr:to>
          <xdr:col>6</xdr:col>
          <xdr:colOff>0</xdr:colOff>
          <xdr:row>165</xdr:row>
          <xdr:rowOff>0</xdr:rowOff>
        </xdr:to>
        <xdr:sp macro="" textlink="">
          <xdr:nvSpPr>
            <xdr:cNvPr id="908311" name="bpmDropDownFLU40" hidden="1">
              <a:extLst>
                <a:ext uri="{63B3BB69-23CF-44E3-9099-C40C66FF867C}">
                  <a14:compatExt spid="_x0000_s908311"/>
                </a:ext>
                <a:ext uri="{FF2B5EF4-FFF2-40B4-BE49-F238E27FC236}">
                  <a16:creationId xmlns:a16="http://schemas.microsoft.com/office/drawing/2014/main" id="{00000000-0008-0000-1600-000017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165</xdr:row>
          <xdr:rowOff>0</xdr:rowOff>
        </xdr:from>
        <xdr:to>
          <xdr:col>6</xdr:col>
          <xdr:colOff>0</xdr:colOff>
          <xdr:row>166</xdr:row>
          <xdr:rowOff>0</xdr:rowOff>
        </xdr:to>
        <xdr:sp macro="" textlink="">
          <xdr:nvSpPr>
            <xdr:cNvPr id="908312" name="bpmDropDownFLU44" hidden="1">
              <a:extLst>
                <a:ext uri="{63B3BB69-23CF-44E3-9099-C40C66FF867C}">
                  <a14:compatExt spid="_x0000_s908312"/>
                </a:ext>
                <a:ext uri="{FF2B5EF4-FFF2-40B4-BE49-F238E27FC236}">
                  <a16:creationId xmlns:a16="http://schemas.microsoft.com/office/drawing/2014/main" id="{00000000-0008-0000-1600-000018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166</xdr:row>
          <xdr:rowOff>0</xdr:rowOff>
        </xdr:from>
        <xdr:to>
          <xdr:col>6</xdr:col>
          <xdr:colOff>0</xdr:colOff>
          <xdr:row>167</xdr:row>
          <xdr:rowOff>0</xdr:rowOff>
        </xdr:to>
        <xdr:sp macro="" textlink="">
          <xdr:nvSpPr>
            <xdr:cNvPr id="908313" name="bpmDropDownFLU65" hidden="1">
              <a:extLst>
                <a:ext uri="{63B3BB69-23CF-44E3-9099-C40C66FF867C}">
                  <a14:compatExt spid="_x0000_s908313"/>
                </a:ext>
                <a:ext uri="{FF2B5EF4-FFF2-40B4-BE49-F238E27FC236}">
                  <a16:creationId xmlns:a16="http://schemas.microsoft.com/office/drawing/2014/main" id="{00000000-0008-0000-1600-000019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167</xdr:row>
          <xdr:rowOff>0</xdr:rowOff>
        </xdr:from>
        <xdr:to>
          <xdr:col>6</xdr:col>
          <xdr:colOff>0</xdr:colOff>
          <xdr:row>168</xdr:row>
          <xdr:rowOff>0</xdr:rowOff>
        </xdr:to>
        <xdr:sp macro="" textlink="">
          <xdr:nvSpPr>
            <xdr:cNvPr id="908314" name="bpmDropDownFLU77" hidden="1">
              <a:extLst>
                <a:ext uri="{63B3BB69-23CF-44E3-9099-C40C66FF867C}">
                  <a14:compatExt spid="_x0000_s908314"/>
                </a:ext>
                <a:ext uri="{FF2B5EF4-FFF2-40B4-BE49-F238E27FC236}">
                  <a16:creationId xmlns:a16="http://schemas.microsoft.com/office/drawing/2014/main" id="{00000000-0008-0000-1600-00001A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7</xdr:col>
          <xdr:colOff>0</xdr:colOff>
          <xdr:row>176</xdr:row>
          <xdr:rowOff>0</xdr:rowOff>
        </xdr:to>
        <xdr:sp macro="" textlink="">
          <xdr:nvSpPr>
            <xdr:cNvPr id="908315" name="bpmDropDownFLU131" hidden="1">
              <a:extLst>
                <a:ext uri="{63B3BB69-23CF-44E3-9099-C40C66FF867C}">
                  <a14:compatExt spid="_x0000_s908315"/>
                </a:ext>
                <a:ext uri="{FF2B5EF4-FFF2-40B4-BE49-F238E27FC236}">
                  <a16:creationId xmlns:a16="http://schemas.microsoft.com/office/drawing/2014/main" id="{00000000-0008-0000-1600-00001B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168</xdr:row>
          <xdr:rowOff>0</xdr:rowOff>
        </xdr:from>
        <xdr:to>
          <xdr:col>6</xdr:col>
          <xdr:colOff>0</xdr:colOff>
          <xdr:row>169</xdr:row>
          <xdr:rowOff>0</xdr:rowOff>
        </xdr:to>
        <xdr:sp macro="" textlink="">
          <xdr:nvSpPr>
            <xdr:cNvPr id="908317" name="bpmDropDownFLU842" hidden="1">
              <a:extLst>
                <a:ext uri="{63B3BB69-23CF-44E3-9099-C40C66FF867C}">
                  <a14:compatExt spid="_x0000_s908317"/>
                </a:ext>
                <a:ext uri="{FF2B5EF4-FFF2-40B4-BE49-F238E27FC236}">
                  <a16:creationId xmlns:a16="http://schemas.microsoft.com/office/drawing/2014/main" id="{00000000-0008-0000-1600-00001D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0</xdr:colOff>
          <xdr:row>63</xdr:row>
          <xdr:rowOff>0</xdr:rowOff>
        </xdr:to>
        <xdr:sp macro="" textlink="">
          <xdr:nvSpPr>
            <xdr:cNvPr id="908328" name="bpmDropDownFLU1002" hidden="1">
              <a:extLst>
                <a:ext uri="{63B3BB69-23CF-44E3-9099-C40C66FF867C}">
                  <a14:compatExt spid="_x0000_s908328"/>
                </a:ext>
                <a:ext uri="{FF2B5EF4-FFF2-40B4-BE49-F238E27FC236}">
                  <a16:creationId xmlns:a16="http://schemas.microsoft.com/office/drawing/2014/main" id="{00000000-0008-0000-1600-000028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0</xdr:colOff>
          <xdr:row>64</xdr:row>
          <xdr:rowOff>0</xdr:rowOff>
        </xdr:to>
        <xdr:sp macro="" textlink="">
          <xdr:nvSpPr>
            <xdr:cNvPr id="908329" name="bpmDropDownFLU1018" hidden="1">
              <a:extLst>
                <a:ext uri="{63B3BB69-23CF-44E3-9099-C40C66FF867C}">
                  <a14:compatExt spid="_x0000_s908329"/>
                </a:ext>
                <a:ext uri="{FF2B5EF4-FFF2-40B4-BE49-F238E27FC236}">
                  <a16:creationId xmlns:a16="http://schemas.microsoft.com/office/drawing/2014/main" id="{00000000-0008-0000-1600-000029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0</xdr:rowOff>
        </xdr:to>
        <xdr:sp macro="" textlink="">
          <xdr:nvSpPr>
            <xdr:cNvPr id="908330" name="bpmDropDownFLU1032" hidden="1">
              <a:extLst>
                <a:ext uri="{63B3BB69-23CF-44E3-9099-C40C66FF867C}">
                  <a14:compatExt spid="_x0000_s908330"/>
                </a:ext>
                <a:ext uri="{FF2B5EF4-FFF2-40B4-BE49-F238E27FC236}">
                  <a16:creationId xmlns:a16="http://schemas.microsoft.com/office/drawing/2014/main" id="{00000000-0008-0000-1600-00002A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0</xdr:colOff>
          <xdr:row>66</xdr:row>
          <xdr:rowOff>0</xdr:rowOff>
        </xdr:to>
        <xdr:sp macro="" textlink="">
          <xdr:nvSpPr>
            <xdr:cNvPr id="908331" name="bpmDropDownFLU1053" hidden="1">
              <a:extLst>
                <a:ext uri="{63B3BB69-23CF-44E3-9099-C40C66FF867C}">
                  <a14:compatExt spid="_x0000_s908331"/>
                </a:ext>
                <a:ext uri="{FF2B5EF4-FFF2-40B4-BE49-F238E27FC236}">
                  <a16:creationId xmlns:a16="http://schemas.microsoft.com/office/drawing/2014/main" id="{00000000-0008-0000-1600-00002B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908332" name="bpmDropDownFLU1074" hidden="1">
              <a:extLst>
                <a:ext uri="{63B3BB69-23CF-44E3-9099-C40C66FF867C}">
                  <a14:compatExt spid="_x0000_s908332"/>
                </a:ext>
                <a:ext uri="{FF2B5EF4-FFF2-40B4-BE49-F238E27FC236}">
                  <a16:creationId xmlns:a16="http://schemas.microsoft.com/office/drawing/2014/main" id="{00000000-0008-0000-1600-00002C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264</xdr:row>
          <xdr:rowOff>0</xdr:rowOff>
        </xdr:from>
        <xdr:to>
          <xdr:col>6</xdr:col>
          <xdr:colOff>0</xdr:colOff>
          <xdr:row>265</xdr:row>
          <xdr:rowOff>0</xdr:rowOff>
        </xdr:to>
        <xdr:sp macro="" textlink="">
          <xdr:nvSpPr>
            <xdr:cNvPr id="908333" name="bpmDropDownFLU1090" hidden="1">
              <a:extLst>
                <a:ext uri="{63B3BB69-23CF-44E3-9099-C40C66FF867C}">
                  <a14:compatExt spid="_x0000_s908333"/>
                </a:ext>
                <a:ext uri="{FF2B5EF4-FFF2-40B4-BE49-F238E27FC236}">
                  <a16:creationId xmlns:a16="http://schemas.microsoft.com/office/drawing/2014/main" id="{00000000-0008-0000-1600-00002D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265</xdr:row>
          <xdr:rowOff>0</xdr:rowOff>
        </xdr:from>
        <xdr:to>
          <xdr:col>6</xdr:col>
          <xdr:colOff>0</xdr:colOff>
          <xdr:row>266</xdr:row>
          <xdr:rowOff>0</xdr:rowOff>
        </xdr:to>
        <xdr:sp macro="" textlink="">
          <xdr:nvSpPr>
            <xdr:cNvPr id="908334" name="bpmDropDownFLU1094" hidden="1">
              <a:extLst>
                <a:ext uri="{63B3BB69-23CF-44E3-9099-C40C66FF867C}">
                  <a14:compatExt spid="_x0000_s908334"/>
                </a:ext>
                <a:ext uri="{FF2B5EF4-FFF2-40B4-BE49-F238E27FC236}">
                  <a16:creationId xmlns:a16="http://schemas.microsoft.com/office/drawing/2014/main" id="{00000000-0008-0000-1600-00002E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266</xdr:row>
          <xdr:rowOff>0</xdr:rowOff>
        </xdr:from>
        <xdr:to>
          <xdr:col>6</xdr:col>
          <xdr:colOff>0</xdr:colOff>
          <xdr:row>267</xdr:row>
          <xdr:rowOff>0</xdr:rowOff>
        </xdr:to>
        <xdr:sp macro="" textlink="">
          <xdr:nvSpPr>
            <xdr:cNvPr id="908335" name="bpmDropDownFLU1115" hidden="1">
              <a:extLst>
                <a:ext uri="{63B3BB69-23CF-44E3-9099-C40C66FF867C}">
                  <a14:compatExt spid="_x0000_s908335"/>
                </a:ext>
                <a:ext uri="{FF2B5EF4-FFF2-40B4-BE49-F238E27FC236}">
                  <a16:creationId xmlns:a16="http://schemas.microsoft.com/office/drawing/2014/main" id="{00000000-0008-0000-1600-00002F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267</xdr:row>
          <xdr:rowOff>0</xdr:rowOff>
        </xdr:from>
        <xdr:to>
          <xdr:col>6</xdr:col>
          <xdr:colOff>0</xdr:colOff>
          <xdr:row>268</xdr:row>
          <xdr:rowOff>0</xdr:rowOff>
        </xdr:to>
        <xdr:sp macro="" textlink="">
          <xdr:nvSpPr>
            <xdr:cNvPr id="908336" name="bpmDropDownFLU1136" hidden="1">
              <a:extLst>
                <a:ext uri="{63B3BB69-23CF-44E3-9099-C40C66FF867C}">
                  <a14:compatExt spid="_x0000_s908336"/>
                </a:ext>
                <a:ext uri="{FF2B5EF4-FFF2-40B4-BE49-F238E27FC236}">
                  <a16:creationId xmlns:a16="http://schemas.microsoft.com/office/drawing/2014/main" id="{00000000-0008-0000-1600-000030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268</xdr:row>
          <xdr:rowOff>0</xdr:rowOff>
        </xdr:from>
        <xdr:to>
          <xdr:col>6</xdr:col>
          <xdr:colOff>0</xdr:colOff>
          <xdr:row>269</xdr:row>
          <xdr:rowOff>0</xdr:rowOff>
        </xdr:to>
        <xdr:sp macro="" textlink="">
          <xdr:nvSpPr>
            <xdr:cNvPr id="908337" name="bpmDropDownFLU1146" hidden="1">
              <a:extLst>
                <a:ext uri="{63B3BB69-23CF-44E3-9099-C40C66FF867C}">
                  <a14:compatExt spid="_x0000_s908337"/>
                </a:ext>
                <a:ext uri="{FF2B5EF4-FFF2-40B4-BE49-F238E27FC236}">
                  <a16:creationId xmlns:a16="http://schemas.microsoft.com/office/drawing/2014/main" id="{00000000-0008-0000-1600-000031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275</xdr:row>
          <xdr:rowOff>0</xdr:rowOff>
        </xdr:from>
        <xdr:to>
          <xdr:col>7</xdr:col>
          <xdr:colOff>0</xdr:colOff>
          <xdr:row>276</xdr:row>
          <xdr:rowOff>0</xdr:rowOff>
        </xdr:to>
        <xdr:sp macro="" textlink="">
          <xdr:nvSpPr>
            <xdr:cNvPr id="908338" name="bpmDropDownFLU1162" hidden="1">
              <a:extLst>
                <a:ext uri="{63B3BB69-23CF-44E3-9099-C40C66FF867C}">
                  <a14:compatExt spid="_x0000_s908338"/>
                </a:ext>
                <a:ext uri="{FF2B5EF4-FFF2-40B4-BE49-F238E27FC236}">
                  <a16:creationId xmlns:a16="http://schemas.microsoft.com/office/drawing/2014/main" id="{00000000-0008-0000-1600-000032DC0D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226431" name="bpmDropDownFLU1128" hidden="1">
              <a:extLst>
                <a:ext uri="{63B3BB69-23CF-44E3-9099-C40C66FF867C}">
                  <a14:compatExt spid="_x0000_s226431"/>
                </a:ext>
                <a:ext uri="{FF2B5EF4-FFF2-40B4-BE49-F238E27FC236}">
                  <a16:creationId xmlns:a16="http://schemas.microsoft.com/office/drawing/2014/main" id="{00000000-0008-0000-1800-00007F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226432" name="bpmDropDownFLU1129" hidden="1">
              <a:extLst>
                <a:ext uri="{63B3BB69-23CF-44E3-9099-C40C66FF867C}">
                  <a14:compatExt spid="_x0000_s226432"/>
                </a:ext>
                <a:ext uri="{FF2B5EF4-FFF2-40B4-BE49-F238E27FC236}">
                  <a16:creationId xmlns:a16="http://schemas.microsoft.com/office/drawing/2014/main" id="{00000000-0008-0000-1800-000080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226433" name="bpmDropDownFLU1130" hidden="1">
              <a:extLst>
                <a:ext uri="{63B3BB69-23CF-44E3-9099-C40C66FF867C}">
                  <a14:compatExt spid="_x0000_s226433"/>
                </a:ext>
                <a:ext uri="{FF2B5EF4-FFF2-40B4-BE49-F238E27FC236}">
                  <a16:creationId xmlns:a16="http://schemas.microsoft.com/office/drawing/2014/main" id="{00000000-0008-0000-1800-000081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7</xdr:col>
          <xdr:colOff>0</xdr:colOff>
          <xdr:row>40</xdr:row>
          <xdr:rowOff>0</xdr:rowOff>
        </xdr:to>
        <xdr:sp macro="" textlink="">
          <xdr:nvSpPr>
            <xdr:cNvPr id="226434" name="bpmDropDownFLU1131" hidden="1">
              <a:extLst>
                <a:ext uri="{63B3BB69-23CF-44E3-9099-C40C66FF867C}">
                  <a14:compatExt spid="_x0000_s226434"/>
                </a:ext>
                <a:ext uri="{FF2B5EF4-FFF2-40B4-BE49-F238E27FC236}">
                  <a16:creationId xmlns:a16="http://schemas.microsoft.com/office/drawing/2014/main" id="{00000000-0008-0000-1800-000082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226435" name="bpmDropDownFLU1132" hidden="1">
              <a:extLst>
                <a:ext uri="{63B3BB69-23CF-44E3-9099-C40C66FF867C}">
                  <a14:compatExt spid="_x0000_s226435"/>
                </a:ext>
                <a:ext uri="{FF2B5EF4-FFF2-40B4-BE49-F238E27FC236}">
                  <a16:creationId xmlns:a16="http://schemas.microsoft.com/office/drawing/2014/main" id="{00000000-0008-0000-1800-000083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226436" name="bpmDropDownFLU1133" hidden="1">
              <a:extLst>
                <a:ext uri="{63B3BB69-23CF-44E3-9099-C40C66FF867C}">
                  <a14:compatExt spid="_x0000_s226436"/>
                </a:ext>
                <a:ext uri="{FF2B5EF4-FFF2-40B4-BE49-F238E27FC236}">
                  <a16:creationId xmlns:a16="http://schemas.microsoft.com/office/drawing/2014/main" id="{00000000-0008-0000-1800-000084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226437" name="bpmDropDownFLU1134" hidden="1">
              <a:extLst>
                <a:ext uri="{63B3BB69-23CF-44E3-9099-C40C66FF867C}">
                  <a14:compatExt spid="_x0000_s226437"/>
                </a:ext>
                <a:ext uri="{FF2B5EF4-FFF2-40B4-BE49-F238E27FC236}">
                  <a16:creationId xmlns:a16="http://schemas.microsoft.com/office/drawing/2014/main" id="{00000000-0008-0000-1800-000085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226438" name="bpmDropDownFLU1135" hidden="1">
              <a:extLst>
                <a:ext uri="{63B3BB69-23CF-44E3-9099-C40C66FF867C}">
                  <a14:compatExt spid="_x0000_s226438"/>
                </a:ext>
                <a:ext uri="{FF2B5EF4-FFF2-40B4-BE49-F238E27FC236}">
                  <a16:creationId xmlns:a16="http://schemas.microsoft.com/office/drawing/2014/main" id="{00000000-0008-0000-1800-000086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226440" name="bpmDropDownFLU1137" hidden="1">
              <a:extLst>
                <a:ext uri="{63B3BB69-23CF-44E3-9099-C40C66FF867C}">
                  <a14:compatExt spid="_x0000_s226440"/>
                </a:ext>
                <a:ext uri="{FF2B5EF4-FFF2-40B4-BE49-F238E27FC236}">
                  <a16:creationId xmlns:a16="http://schemas.microsoft.com/office/drawing/2014/main" id="{00000000-0008-0000-1800-000088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226441" name="bpmDropDownFLU1138" hidden="1">
              <a:extLst>
                <a:ext uri="{63B3BB69-23CF-44E3-9099-C40C66FF867C}">
                  <a14:compatExt spid="_x0000_s226441"/>
                </a:ext>
                <a:ext uri="{FF2B5EF4-FFF2-40B4-BE49-F238E27FC236}">
                  <a16:creationId xmlns:a16="http://schemas.microsoft.com/office/drawing/2014/main" id="{00000000-0008-0000-1800-000089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226442" name="bpmDropDownFLU1139" hidden="1">
              <a:extLst>
                <a:ext uri="{63B3BB69-23CF-44E3-9099-C40C66FF867C}">
                  <a14:compatExt spid="_x0000_s226442"/>
                </a:ext>
                <a:ext uri="{FF2B5EF4-FFF2-40B4-BE49-F238E27FC236}">
                  <a16:creationId xmlns:a16="http://schemas.microsoft.com/office/drawing/2014/main" id="{00000000-0008-0000-1800-00008A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226443" name="bpmDropDownFLU1140" hidden="1">
              <a:extLst>
                <a:ext uri="{63B3BB69-23CF-44E3-9099-C40C66FF867C}">
                  <a14:compatExt spid="_x0000_s226443"/>
                </a:ext>
                <a:ext uri="{FF2B5EF4-FFF2-40B4-BE49-F238E27FC236}">
                  <a16:creationId xmlns:a16="http://schemas.microsoft.com/office/drawing/2014/main" id="{00000000-0008-0000-1800-00008B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226444" name="bpmDropDownFLU1141" hidden="1">
              <a:extLst>
                <a:ext uri="{63B3BB69-23CF-44E3-9099-C40C66FF867C}">
                  <a14:compatExt spid="_x0000_s226444"/>
                </a:ext>
                <a:ext uri="{FF2B5EF4-FFF2-40B4-BE49-F238E27FC236}">
                  <a16:creationId xmlns:a16="http://schemas.microsoft.com/office/drawing/2014/main" id="{00000000-0008-0000-1800-00008C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226445" name="bpmDropDownFLU1142" hidden="1">
              <a:extLst>
                <a:ext uri="{63B3BB69-23CF-44E3-9099-C40C66FF867C}">
                  <a14:compatExt spid="_x0000_s226445"/>
                </a:ext>
                <a:ext uri="{FF2B5EF4-FFF2-40B4-BE49-F238E27FC236}">
                  <a16:creationId xmlns:a16="http://schemas.microsoft.com/office/drawing/2014/main" id="{00000000-0008-0000-1800-00008D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7</xdr:col>
          <xdr:colOff>0</xdr:colOff>
          <xdr:row>75</xdr:row>
          <xdr:rowOff>0</xdr:rowOff>
        </xdr:to>
        <xdr:sp macro="" textlink="">
          <xdr:nvSpPr>
            <xdr:cNvPr id="226476" name="bpmDropDownFLU1173" hidden="1">
              <a:extLst>
                <a:ext uri="{63B3BB69-23CF-44E3-9099-C40C66FF867C}">
                  <a14:compatExt spid="_x0000_s226476"/>
                </a:ext>
                <a:ext uri="{FF2B5EF4-FFF2-40B4-BE49-F238E27FC236}">
                  <a16:creationId xmlns:a16="http://schemas.microsoft.com/office/drawing/2014/main" id="{00000000-0008-0000-1800-0000AC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7</xdr:col>
          <xdr:colOff>0</xdr:colOff>
          <xdr:row>76</xdr:row>
          <xdr:rowOff>0</xdr:rowOff>
        </xdr:to>
        <xdr:sp macro="" textlink="">
          <xdr:nvSpPr>
            <xdr:cNvPr id="226477" name="bpmDropDownFLU1174" hidden="1">
              <a:extLst>
                <a:ext uri="{63B3BB69-23CF-44E3-9099-C40C66FF867C}">
                  <a14:compatExt spid="_x0000_s226477"/>
                </a:ext>
                <a:ext uri="{FF2B5EF4-FFF2-40B4-BE49-F238E27FC236}">
                  <a16:creationId xmlns:a16="http://schemas.microsoft.com/office/drawing/2014/main" id="{00000000-0008-0000-1800-0000AD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226478" name="bpmDropDownFLU1175" hidden="1">
              <a:extLst>
                <a:ext uri="{63B3BB69-23CF-44E3-9099-C40C66FF867C}">
                  <a14:compatExt spid="_x0000_s226478"/>
                </a:ext>
                <a:ext uri="{FF2B5EF4-FFF2-40B4-BE49-F238E27FC236}">
                  <a16:creationId xmlns:a16="http://schemas.microsoft.com/office/drawing/2014/main" id="{00000000-0008-0000-1800-0000AE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226479" name="bpmDropDownFLU1176" hidden="1">
              <a:extLst>
                <a:ext uri="{63B3BB69-23CF-44E3-9099-C40C66FF867C}">
                  <a14:compatExt spid="_x0000_s226479"/>
                </a:ext>
                <a:ext uri="{FF2B5EF4-FFF2-40B4-BE49-F238E27FC236}">
                  <a16:creationId xmlns:a16="http://schemas.microsoft.com/office/drawing/2014/main" id="{00000000-0008-0000-1800-0000AF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226480" name="bpmDropDownFLU1177" hidden="1">
              <a:extLst>
                <a:ext uri="{63B3BB69-23CF-44E3-9099-C40C66FF867C}">
                  <a14:compatExt spid="_x0000_s226480"/>
                </a:ext>
                <a:ext uri="{FF2B5EF4-FFF2-40B4-BE49-F238E27FC236}">
                  <a16:creationId xmlns:a16="http://schemas.microsoft.com/office/drawing/2014/main" id="{00000000-0008-0000-1800-0000B0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226481" name="bpmDropDownFLU1178" hidden="1">
              <a:extLst>
                <a:ext uri="{63B3BB69-23CF-44E3-9099-C40C66FF867C}">
                  <a14:compatExt spid="_x0000_s226481"/>
                </a:ext>
                <a:ext uri="{FF2B5EF4-FFF2-40B4-BE49-F238E27FC236}">
                  <a16:creationId xmlns:a16="http://schemas.microsoft.com/office/drawing/2014/main" id="{00000000-0008-0000-1800-0000B1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226482" name="bpmDropDownFLU1179" hidden="1">
              <a:extLst>
                <a:ext uri="{63B3BB69-23CF-44E3-9099-C40C66FF867C}">
                  <a14:compatExt spid="_x0000_s226482"/>
                </a:ext>
                <a:ext uri="{FF2B5EF4-FFF2-40B4-BE49-F238E27FC236}">
                  <a16:creationId xmlns:a16="http://schemas.microsoft.com/office/drawing/2014/main" id="{00000000-0008-0000-1800-0000B2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226483" name="bpmDropDownFLU1180" hidden="1">
              <a:extLst>
                <a:ext uri="{63B3BB69-23CF-44E3-9099-C40C66FF867C}">
                  <a14:compatExt spid="_x0000_s226483"/>
                </a:ext>
                <a:ext uri="{FF2B5EF4-FFF2-40B4-BE49-F238E27FC236}">
                  <a16:creationId xmlns:a16="http://schemas.microsoft.com/office/drawing/2014/main" id="{00000000-0008-0000-1800-0000B3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226485" name="bpmDropDownFLU1182" hidden="1">
              <a:extLst>
                <a:ext uri="{63B3BB69-23CF-44E3-9099-C40C66FF867C}">
                  <a14:compatExt spid="_x0000_s226485"/>
                </a:ext>
                <a:ext uri="{FF2B5EF4-FFF2-40B4-BE49-F238E27FC236}">
                  <a16:creationId xmlns:a16="http://schemas.microsoft.com/office/drawing/2014/main" id="{00000000-0008-0000-1800-0000B5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7</xdr:col>
          <xdr:colOff>0</xdr:colOff>
          <xdr:row>84</xdr:row>
          <xdr:rowOff>0</xdr:rowOff>
        </xdr:to>
        <xdr:sp macro="" textlink="">
          <xdr:nvSpPr>
            <xdr:cNvPr id="226486" name="bpmDropDownFLU1183" hidden="1">
              <a:extLst>
                <a:ext uri="{63B3BB69-23CF-44E3-9099-C40C66FF867C}">
                  <a14:compatExt spid="_x0000_s226486"/>
                </a:ext>
                <a:ext uri="{FF2B5EF4-FFF2-40B4-BE49-F238E27FC236}">
                  <a16:creationId xmlns:a16="http://schemas.microsoft.com/office/drawing/2014/main" id="{00000000-0008-0000-1800-0000B6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226487" name="bpmDropDownFLU1184" hidden="1">
              <a:extLst>
                <a:ext uri="{63B3BB69-23CF-44E3-9099-C40C66FF867C}">
                  <a14:compatExt spid="_x0000_s226487"/>
                </a:ext>
                <a:ext uri="{FF2B5EF4-FFF2-40B4-BE49-F238E27FC236}">
                  <a16:creationId xmlns:a16="http://schemas.microsoft.com/office/drawing/2014/main" id="{00000000-0008-0000-1800-0000B7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7</xdr:col>
          <xdr:colOff>0</xdr:colOff>
          <xdr:row>86</xdr:row>
          <xdr:rowOff>0</xdr:rowOff>
        </xdr:to>
        <xdr:sp macro="" textlink="">
          <xdr:nvSpPr>
            <xdr:cNvPr id="226488" name="bpmDropDownFLU1185" hidden="1">
              <a:extLst>
                <a:ext uri="{63B3BB69-23CF-44E3-9099-C40C66FF867C}">
                  <a14:compatExt spid="_x0000_s226488"/>
                </a:ext>
                <a:ext uri="{FF2B5EF4-FFF2-40B4-BE49-F238E27FC236}">
                  <a16:creationId xmlns:a16="http://schemas.microsoft.com/office/drawing/2014/main" id="{00000000-0008-0000-1800-0000B8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226489" name="bpmDropDownFLU1186" hidden="1">
              <a:extLst>
                <a:ext uri="{63B3BB69-23CF-44E3-9099-C40C66FF867C}">
                  <a14:compatExt spid="_x0000_s226489"/>
                </a:ext>
                <a:ext uri="{FF2B5EF4-FFF2-40B4-BE49-F238E27FC236}">
                  <a16:creationId xmlns:a16="http://schemas.microsoft.com/office/drawing/2014/main" id="{00000000-0008-0000-1800-0000B9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226490" name="bpmDropDownFLU1187" hidden="1">
              <a:extLst>
                <a:ext uri="{63B3BB69-23CF-44E3-9099-C40C66FF867C}">
                  <a14:compatExt spid="_x0000_s226490"/>
                </a:ext>
                <a:ext uri="{FF2B5EF4-FFF2-40B4-BE49-F238E27FC236}">
                  <a16:creationId xmlns:a16="http://schemas.microsoft.com/office/drawing/2014/main" id="{00000000-0008-0000-1800-0000BA7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226626" name="bpmDropDownFLU1510" hidden="1">
              <a:extLst>
                <a:ext uri="{63B3BB69-23CF-44E3-9099-C40C66FF867C}">
                  <a14:compatExt spid="_x0000_s226626"/>
                </a:ext>
                <a:ext uri="{FF2B5EF4-FFF2-40B4-BE49-F238E27FC236}">
                  <a16:creationId xmlns:a16="http://schemas.microsoft.com/office/drawing/2014/main" id="{00000000-0008-0000-1800-00004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226627" name="bpmDropDownFLU1511" hidden="1">
              <a:extLst>
                <a:ext uri="{63B3BB69-23CF-44E3-9099-C40C66FF867C}">
                  <a14:compatExt spid="_x0000_s226627"/>
                </a:ext>
                <a:ext uri="{FF2B5EF4-FFF2-40B4-BE49-F238E27FC236}">
                  <a16:creationId xmlns:a16="http://schemas.microsoft.com/office/drawing/2014/main" id="{00000000-0008-0000-1800-00004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226628" name="bpmDropDownFLU1512" hidden="1">
              <a:extLst>
                <a:ext uri="{63B3BB69-23CF-44E3-9099-C40C66FF867C}">
                  <a14:compatExt spid="_x0000_s226628"/>
                </a:ext>
                <a:ext uri="{FF2B5EF4-FFF2-40B4-BE49-F238E27FC236}">
                  <a16:creationId xmlns:a16="http://schemas.microsoft.com/office/drawing/2014/main" id="{00000000-0008-0000-1800-00004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226629" name="bpmDropDownFLU1513" hidden="1">
              <a:extLst>
                <a:ext uri="{63B3BB69-23CF-44E3-9099-C40C66FF867C}">
                  <a14:compatExt spid="_x0000_s226629"/>
                </a:ext>
                <a:ext uri="{FF2B5EF4-FFF2-40B4-BE49-F238E27FC236}">
                  <a16:creationId xmlns:a16="http://schemas.microsoft.com/office/drawing/2014/main" id="{00000000-0008-0000-1800-00004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226630" name="bpmDropDownFLU1514" hidden="1">
              <a:extLst>
                <a:ext uri="{63B3BB69-23CF-44E3-9099-C40C66FF867C}">
                  <a14:compatExt spid="_x0000_s226630"/>
                </a:ext>
                <a:ext uri="{FF2B5EF4-FFF2-40B4-BE49-F238E27FC236}">
                  <a16:creationId xmlns:a16="http://schemas.microsoft.com/office/drawing/2014/main" id="{00000000-0008-0000-1800-00004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226631" name="bpmDropDownFLU1515" hidden="1">
              <a:extLst>
                <a:ext uri="{63B3BB69-23CF-44E3-9099-C40C66FF867C}">
                  <a14:compatExt spid="_x0000_s226631"/>
                </a:ext>
                <a:ext uri="{FF2B5EF4-FFF2-40B4-BE49-F238E27FC236}">
                  <a16:creationId xmlns:a16="http://schemas.microsoft.com/office/drawing/2014/main" id="{00000000-0008-0000-1800-00004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226632" name="bpmDropDownFLU1516" hidden="1">
              <a:extLst>
                <a:ext uri="{63B3BB69-23CF-44E3-9099-C40C66FF867C}">
                  <a14:compatExt spid="_x0000_s226632"/>
                </a:ext>
                <a:ext uri="{FF2B5EF4-FFF2-40B4-BE49-F238E27FC236}">
                  <a16:creationId xmlns:a16="http://schemas.microsoft.com/office/drawing/2014/main" id="{00000000-0008-0000-1800-00004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226633" name="bpmDropDownFLU1517" hidden="1">
              <a:extLst>
                <a:ext uri="{63B3BB69-23CF-44E3-9099-C40C66FF867C}">
                  <a14:compatExt spid="_x0000_s226633"/>
                </a:ext>
                <a:ext uri="{FF2B5EF4-FFF2-40B4-BE49-F238E27FC236}">
                  <a16:creationId xmlns:a16="http://schemas.microsoft.com/office/drawing/2014/main" id="{00000000-0008-0000-1800-00004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226635" name="bpmDropDownFLU1519" hidden="1">
              <a:extLst>
                <a:ext uri="{63B3BB69-23CF-44E3-9099-C40C66FF867C}">
                  <a14:compatExt spid="_x0000_s226635"/>
                </a:ext>
                <a:ext uri="{FF2B5EF4-FFF2-40B4-BE49-F238E27FC236}">
                  <a16:creationId xmlns:a16="http://schemas.microsoft.com/office/drawing/2014/main" id="{00000000-0008-0000-1800-00004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226636" name="bpmDropDownFLU1520" hidden="1">
              <a:extLst>
                <a:ext uri="{63B3BB69-23CF-44E3-9099-C40C66FF867C}">
                  <a14:compatExt spid="_x0000_s226636"/>
                </a:ext>
                <a:ext uri="{FF2B5EF4-FFF2-40B4-BE49-F238E27FC236}">
                  <a16:creationId xmlns:a16="http://schemas.microsoft.com/office/drawing/2014/main" id="{00000000-0008-0000-1800-00004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226637" name="bpmDropDownFLU1521" hidden="1">
              <a:extLst>
                <a:ext uri="{63B3BB69-23CF-44E3-9099-C40C66FF867C}">
                  <a14:compatExt spid="_x0000_s226637"/>
                </a:ext>
                <a:ext uri="{FF2B5EF4-FFF2-40B4-BE49-F238E27FC236}">
                  <a16:creationId xmlns:a16="http://schemas.microsoft.com/office/drawing/2014/main" id="{00000000-0008-0000-1800-00004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226638" name="bpmDropDownFLU1522" hidden="1">
              <a:extLst>
                <a:ext uri="{63B3BB69-23CF-44E3-9099-C40C66FF867C}">
                  <a14:compatExt spid="_x0000_s226638"/>
                </a:ext>
                <a:ext uri="{FF2B5EF4-FFF2-40B4-BE49-F238E27FC236}">
                  <a16:creationId xmlns:a16="http://schemas.microsoft.com/office/drawing/2014/main" id="{00000000-0008-0000-1800-00004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7</xdr:col>
          <xdr:colOff>0</xdr:colOff>
          <xdr:row>30</xdr:row>
          <xdr:rowOff>0</xdr:rowOff>
        </xdr:to>
        <xdr:sp macro="" textlink="">
          <xdr:nvSpPr>
            <xdr:cNvPr id="226639" name="bpmDropDownFLU1523" hidden="1">
              <a:extLst>
                <a:ext uri="{63B3BB69-23CF-44E3-9099-C40C66FF867C}">
                  <a14:compatExt spid="_x0000_s226639"/>
                </a:ext>
                <a:ext uri="{FF2B5EF4-FFF2-40B4-BE49-F238E27FC236}">
                  <a16:creationId xmlns:a16="http://schemas.microsoft.com/office/drawing/2014/main" id="{00000000-0008-0000-1800-00004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7</xdr:col>
          <xdr:colOff>0</xdr:colOff>
          <xdr:row>31</xdr:row>
          <xdr:rowOff>0</xdr:rowOff>
        </xdr:to>
        <xdr:sp macro="" textlink="">
          <xdr:nvSpPr>
            <xdr:cNvPr id="226640" name="bpmDropDownFLU1524" hidden="1">
              <a:extLst>
                <a:ext uri="{63B3BB69-23CF-44E3-9099-C40C66FF867C}">
                  <a14:compatExt spid="_x0000_s226640"/>
                </a:ext>
                <a:ext uri="{FF2B5EF4-FFF2-40B4-BE49-F238E27FC236}">
                  <a16:creationId xmlns:a16="http://schemas.microsoft.com/office/drawing/2014/main" id="{00000000-0008-0000-1800-00005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26656" name="bpmDropDownFLU1540" hidden="1">
              <a:extLst>
                <a:ext uri="{63B3BB69-23CF-44E3-9099-C40C66FF867C}">
                  <a14:compatExt spid="_x0000_s226656"/>
                </a:ext>
                <a:ext uri="{FF2B5EF4-FFF2-40B4-BE49-F238E27FC236}">
                  <a16:creationId xmlns:a16="http://schemas.microsoft.com/office/drawing/2014/main" id="{00000000-0008-0000-1800-00006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26657" name="bpmDropDownFLU1541" hidden="1">
              <a:extLst>
                <a:ext uri="{63B3BB69-23CF-44E3-9099-C40C66FF867C}">
                  <a14:compatExt spid="_x0000_s226657"/>
                </a:ext>
                <a:ext uri="{FF2B5EF4-FFF2-40B4-BE49-F238E27FC236}">
                  <a16:creationId xmlns:a16="http://schemas.microsoft.com/office/drawing/2014/main" id="{00000000-0008-0000-1800-00006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26658" name="bpmDropDownFLU1542" hidden="1">
              <a:extLst>
                <a:ext uri="{63B3BB69-23CF-44E3-9099-C40C66FF867C}">
                  <a14:compatExt spid="_x0000_s226658"/>
                </a:ext>
                <a:ext uri="{FF2B5EF4-FFF2-40B4-BE49-F238E27FC236}">
                  <a16:creationId xmlns:a16="http://schemas.microsoft.com/office/drawing/2014/main" id="{00000000-0008-0000-1800-00006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26659" name="bpmDropDownFLU1543" hidden="1">
              <a:extLst>
                <a:ext uri="{63B3BB69-23CF-44E3-9099-C40C66FF867C}">
                  <a14:compatExt spid="_x0000_s226659"/>
                </a:ext>
                <a:ext uri="{FF2B5EF4-FFF2-40B4-BE49-F238E27FC236}">
                  <a16:creationId xmlns:a16="http://schemas.microsoft.com/office/drawing/2014/main" id="{00000000-0008-0000-1800-00006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26660" name="bpmDropDownFLU1544" hidden="1">
              <a:extLst>
                <a:ext uri="{63B3BB69-23CF-44E3-9099-C40C66FF867C}">
                  <a14:compatExt spid="_x0000_s226660"/>
                </a:ext>
                <a:ext uri="{FF2B5EF4-FFF2-40B4-BE49-F238E27FC236}">
                  <a16:creationId xmlns:a16="http://schemas.microsoft.com/office/drawing/2014/main" id="{00000000-0008-0000-1800-00006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26661" name="bpmDropDownFLU1545" hidden="1">
              <a:extLst>
                <a:ext uri="{63B3BB69-23CF-44E3-9099-C40C66FF867C}">
                  <a14:compatExt spid="_x0000_s226661"/>
                </a:ext>
                <a:ext uri="{FF2B5EF4-FFF2-40B4-BE49-F238E27FC236}">
                  <a16:creationId xmlns:a16="http://schemas.microsoft.com/office/drawing/2014/main" id="{00000000-0008-0000-1800-00006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226662" name="bpmDropDownFLU1546" hidden="1">
              <a:extLst>
                <a:ext uri="{63B3BB69-23CF-44E3-9099-C40C66FF867C}">
                  <a14:compatExt spid="_x0000_s226662"/>
                </a:ext>
                <a:ext uri="{FF2B5EF4-FFF2-40B4-BE49-F238E27FC236}">
                  <a16:creationId xmlns:a16="http://schemas.microsoft.com/office/drawing/2014/main" id="{00000000-0008-0000-1800-00006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226663" name="bpmDropDownFLU1547" hidden="1">
              <a:extLst>
                <a:ext uri="{63B3BB69-23CF-44E3-9099-C40C66FF867C}">
                  <a14:compatExt spid="_x0000_s226663"/>
                </a:ext>
                <a:ext uri="{FF2B5EF4-FFF2-40B4-BE49-F238E27FC236}">
                  <a16:creationId xmlns:a16="http://schemas.microsoft.com/office/drawing/2014/main" id="{00000000-0008-0000-1800-00006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226665" name="bpmDropDownFLU1549" hidden="1">
              <a:extLst>
                <a:ext uri="{63B3BB69-23CF-44E3-9099-C40C66FF867C}">
                  <a14:compatExt spid="_x0000_s226665"/>
                </a:ext>
                <a:ext uri="{FF2B5EF4-FFF2-40B4-BE49-F238E27FC236}">
                  <a16:creationId xmlns:a16="http://schemas.microsoft.com/office/drawing/2014/main" id="{00000000-0008-0000-1800-00006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226666" name="bpmDropDownFLU1550" hidden="1">
              <a:extLst>
                <a:ext uri="{63B3BB69-23CF-44E3-9099-C40C66FF867C}">
                  <a14:compatExt spid="_x0000_s226666"/>
                </a:ext>
                <a:ext uri="{FF2B5EF4-FFF2-40B4-BE49-F238E27FC236}">
                  <a16:creationId xmlns:a16="http://schemas.microsoft.com/office/drawing/2014/main" id="{00000000-0008-0000-1800-00006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226667" name="bpmDropDownFLU1551" hidden="1">
              <a:extLst>
                <a:ext uri="{63B3BB69-23CF-44E3-9099-C40C66FF867C}">
                  <a14:compatExt spid="_x0000_s226667"/>
                </a:ext>
                <a:ext uri="{FF2B5EF4-FFF2-40B4-BE49-F238E27FC236}">
                  <a16:creationId xmlns:a16="http://schemas.microsoft.com/office/drawing/2014/main" id="{00000000-0008-0000-1800-00006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226668" name="bpmDropDownFLU1552" hidden="1">
              <a:extLst>
                <a:ext uri="{63B3BB69-23CF-44E3-9099-C40C66FF867C}">
                  <a14:compatExt spid="_x0000_s226668"/>
                </a:ext>
                <a:ext uri="{FF2B5EF4-FFF2-40B4-BE49-F238E27FC236}">
                  <a16:creationId xmlns:a16="http://schemas.microsoft.com/office/drawing/2014/main" id="{00000000-0008-0000-1800-00006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226669" name="bpmDropDownFLU1553" hidden="1">
              <a:extLst>
                <a:ext uri="{63B3BB69-23CF-44E3-9099-C40C66FF867C}">
                  <a14:compatExt spid="_x0000_s226669"/>
                </a:ext>
                <a:ext uri="{FF2B5EF4-FFF2-40B4-BE49-F238E27FC236}">
                  <a16:creationId xmlns:a16="http://schemas.microsoft.com/office/drawing/2014/main" id="{00000000-0008-0000-1800-00006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9</xdr:col>
          <xdr:colOff>0</xdr:colOff>
          <xdr:row>31</xdr:row>
          <xdr:rowOff>0</xdr:rowOff>
        </xdr:to>
        <xdr:sp macro="" textlink="">
          <xdr:nvSpPr>
            <xdr:cNvPr id="226670" name="bpmDropDownFLU1554" hidden="1">
              <a:extLst>
                <a:ext uri="{63B3BB69-23CF-44E3-9099-C40C66FF867C}">
                  <a14:compatExt spid="_x0000_s226670"/>
                </a:ext>
                <a:ext uri="{FF2B5EF4-FFF2-40B4-BE49-F238E27FC236}">
                  <a16:creationId xmlns:a16="http://schemas.microsoft.com/office/drawing/2014/main" id="{00000000-0008-0000-1800-00006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226671" name="bpmDropDownFLU1556" hidden="1">
              <a:extLst>
                <a:ext uri="{63B3BB69-23CF-44E3-9099-C40C66FF867C}">
                  <a14:compatExt spid="_x0000_s226671"/>
                </a:ext>
                <a:ext uri="{FF2B5EF4-FFF2-40B4-BE49-F238E27FC236}">
                  <a16:creationId xmlns:a16="http://schemas.microsoft.com/office/drawing/2014/main" id="{00000000-0008-0000-1800-00006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226672" name="bpmDropDownFLU1557" hidden="1">
              <a:extLst>
                <a:ext uri="{63B3BB69-23CF-44E3-9099-C40C66FF867C}">
                  <a14:compatExt spid="_x0000_s226672"/>
                </a:ext>
                <a:ext uri="{FF2B5EF4-FFF2-40B4-BE49-F238E27FC236}">
                  <a16:creationId xmlns:a16="http://schemas.microsoft.com/office/drawing/2014/main" id="{00000000-0008-0000-1800-00007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226673" name="bpmDropDownFLU1558" hidden="1">
              <a:extLst>
                <a:ext uri="{63B3BB69-23CF-44E3-9099-C40C66FF867C}">
                  <a14:compatExt spid="_x0000_s226673"/>
                </a:ext>
                <a:ext uri="{FF2B5EF4-FFF2-40B4-BE49-F238E27FC236}">
                  <a16:creationId xmlns:a16="http://schemas.microsoft.com/office/drawing/2014/main" id="{00000000-0008-0000-1800-00007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226674" name="bpmDropDownFLU1559" hidden="1">
              <a:extLst>
                <a:ext uri="{63B3BB69-23CF-44E3-9099-C40C66FF867C}">
                  <a14:compatExt spid="_x0000_s226674"/>
                </a:ext>
                <a:ext uri="{FF2B5EF4-FFF2-40B4-BE49-F238E27FC236}">
                  <a16:creationId xmlns:a16="http://schemas.microsoft.com/office/drawing/2014/main" id="{00000000-0008-0000-1800-00007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226675" name="bpmDropDownFLU1560" hidden="1">
              <a:extLst>
                <a:ext uri="{63B3BB69-23CF-44E3-9099-C40C66FF867C}">
                  <a14:compatExt spid="_x0000_s226675"/>
                </a:ext>
                <a:ext uri="{FF2B5EF4-FFF2-40B4-BE49-F238E27FC236}">
                  <a16:creationId xmlns:a16="http://schemas.microsoft.com/office/drawing/2014/main" id="{00000000-0008-0000-1800-00007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7</xdr:col>
          <xdr:colOff>0</xdr:colOff>
          <xdr:row>108</xdr:row>
          <xdr:rowOff>0</xdr:rowOff>
        </xdr:to>
        <xdr:sp macro="" textlink="">
          <xdr:nvSpPr>
            <xdr:cNvPr id="226676" name="bpmDropDownFLU1561" hidden="1">
              <a:extLst>
                <a:ext uri="{63B3BB69-23CF-44E3-9099-C40C66FF867C}">
                  <a14:compatExt spid="_x0000_s226676"/>
                </a:ext>
                <a:ext uri="{FF2B5EF4-FFF2-40B4-BE49-F238E27FC236}">
                  <a16:creationId xmlns:a16="http://schemas.microsoft.com/office/drawing/2014/main" id="{00000000-0008-0000-1800-00007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226677" name="bpmDropDownFLU1562" hidden="1">
              <a:extLst>
                <a:ext uri="{63B3BB69-23CF-44E3-9099-C40C66FF867C}">
                  <a14:compatExt spid="_x0000_s226677"/>
                </a:ext>
                <a:ext uri="{FF2B5EF4-FFF2-40B4-BE49-F238E27FC236}">
                  <a16:creationId xmlns:a16="http://schemas.microsoft.com/office/drawing/2014/main" id="{00000000-0008-0000-1800-00007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7</xdr:col>
          <xdr:colOff>0</xdr:colOff>
          <xdr:row>110</xdr:row>
          <xdr:rowOff>0</xdr:rowOff>
        </xdr:to>
        <xdr:sp macro="" textlink="">
          <xdr:nvSpPr>
            <xdr:cNvPr id="226678" name="bpmDropDownFLU1563" hidden="1">
              <a:extLst>
                <a:ext uri="{63B3BB69-23CF-44E3-9099-C40C66FF867C}">
                  <a14:compatExt spid="_x0000_s226678"/>
                </a:ext>
                <a:ext uri="{FF2B5EF4-FFF2-40B4-BE49-F238E27FC236}">
                  <a16:creationId xmlns:a16="http://schemas.microsoft.com/office/drawing/2014/main" id="{00000000-0008-0000-1800-00007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7</xdr:col>
          <xdr:colOff>0</xdr:colOff>
          <xdr:row>111</xdr:row>
          <xdr:rowOff>0</xdr:rowOff>
        </xdr:to>
        <xdr:sp macro="" textlink="">
          <xdr:nvSpPr>
            <xdr:cNvPr id="226680" name="bpmDropDownFLU1565" hidden="1">
              <a:extLst>
                <a:ext uri="{63B3BB69-23CF-44E3-9099-C40C66FF867C}">
                  <a14:compatExt spid="_x0000_s226680"/>
                </a:ext>
                <a:ext uri="{FF2B5EF4-FFF2-40B4-BE49-F238E27FC236}">
                  <a16:creationId xmlns:a16="http://schemas.microsoft.com/office/drawing/2014/main" id="{00000000-0008-0000-1800-00007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226681" name="bpmDropDownFLU1566" hidden="1">
              <a:extLst>
                <a:ext uri="{63B3BB69-23CF-44E3-9099-C40C66FF867C}">
                  <a14:compatExt spid="_x0000_s226681"/>
                </a:ext>
                <a:ext uri="{FF2B5EF4-FFF2-40B4-BE49-F238E27FC236}">
                  <a16:creationId xmlns:a16="http://schemas.microsoft.com/office/drawing/2014/main" id="{00000000-0008-0000-1800-00007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226682" name="bpmDropDownFLU1567" hidden="1">
              <a:extLst>
                <a:ext uri="{63B3BB69-23CF-44E3-9099-C40C66FF867C}">
                  <a14:compatExt spid="_x0000_s226682"/>
                </a:ext>
                <a:ext uri="{FF2B5EF4-FFF2-40B4-BE49-F238E27FC236}">
                  <a16:creationId xmlns:a16="http://schemas.microsoft.com/office/drawing/2014/main" id="{00000000-0008-0000-1800-00007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226683" name="bpmDropDownFLU1568" hidden="1">
              <a:extLst>
                <a:ext uri="{63B3BB69-23CF-44E3-9099-C40C66FF867C}">
                  <a14:compatExt spid="_x0000_s226683"/>
                </a:ext>
                <a:ext uri="{FF2B5EF4-FFF2-40B4-BE49-F238E27FC236}">
                  <a16:creationId xmlns:a16="http://schemas.microsoft.com/office/drawing/2014/main" id="{00000000-0008-0000-1800-00007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226684" name="bpmDropDownFLU1569" hidden="1">
              <a:extLst>
                <a:ext uri="{63B3BB69-23CF-44E3-9099-C40C66FF867C}">
                  <a14:compatExt spid="_x0000_s226684"/>
                </a:ext>
                <a:ext uri="{FF2B5EF4-FFF2-40B4-BE49-F238E27FC236}">
                  <a16:creationId xmlns:a16="http://schemas.microsoft.com/office/drawing/2014/main" id="{00000000-0008-0000-1800-00007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226685" name="bpmDropDownFLU1570" hidden="1">
              <a:extLst>
                <a:ext uri="{63B3BB69-23CF-44E3-9099-C40C66FF867C}">
                  <a14:compatExt spid="_x0000_s226685"/>
                </a:ext>
                <a:ext uri="{FF2B5EF4-FFF2-40B4-BE49-F238E27FC236}">
                  <a16:creationId xmlns:a16="http://schemas.microsoft.com/office/drawing/2014/main" id="{00000000-0008-0000-1800-00007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26686" name="bpmDropDownFLU1571" hidden="1">
              <a:extLst>
                <a:ext uri="{63B3BB69-23CF-44E3-9099-C40C66FF867C}">
                  <a14:compatExt spid="_x0000_s226686"/>
                </a:ext>
                <a:ext uri="{FF2B5EF4-FFF2-40B4-BE49-F238E27FC236}">
                  <a16:creationId xmlns:a16="http://schemas.microsoft.com/office/drawing/2014/main" id="{00000000-0008-0000-1800-00007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26687" name="bpmDropDownFLU1572" hidden="1">
              <a:extLst>
                <a:ext uri="{63B3BB69-23CF-44E3-9099-C40C66FF867C}">
                  <a14:compatExt spid="_x0000_s226687"/>
                </a:ext>
                <a:ext uri="{FF2B5EF4-FFF2-40B4-BE49-F238E27FC236}">
                  <a16:creationId xmlns:a16="http://schemas.microsoft.com/office/drawing/2014/main" id="{00000000-0008-0000-1800-00007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0</xdr:rowOff>
        </xdr:to>
        <xdr:sp macro="" textlink="">
          <xdr:nvSpPr>
            <xdr:cNvPr id="226688" name="bpmDropDownFLU1573" hidden="1">
              <a:extLst>
                <a:ext uri="{63B3BB69-23CF-44E3-9099-C40C66FF867C}">
                  <a14:compatExt spid="_x0000_s226688"/>
                </a:ext>
                <a:ext uri="{FF2B5EF4-FFF2-40B4-BE49-F238E27FC236}">
                  <a16:creationId xmlns:a16="http://schemas.microsoft.com/office/drawing/2014/main" id="{00000000-0008-0000-1800-00008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226689" name="bpmDropDownFLU1574" hidden="1">
              <a:extLst>
                <a:ext uri="{63B3BB69-23CF-44E3-9099-C40C66FF867C}">
                  <a14:compatExt spid="_x0000_s226689"/>
                </a:ext>
                <a:ext uri="{FF2B5EF4-FFF2-40B4-BE49-F238E27FC236}">
                  <a16:creationId xmlns:a16="http://schemas.microsoft.com/office/drawing/2014/main" id="{00000000-0008-0000-1800-00008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226690" name="bpmDropDownFLU1575" hidden="1">
              <a:extLst>
                <a:ext uri="{63B3BB69-23CF-44E3-9099-C40C66FF867C}">
                  <a14:compatExt spid="_x0000_s226690"/>
                </a:ext>
                <a:ext uri="{FF2B5EF4-FFF2-40B4-BE49-F238E27FC236}">
                  <a16:creationId xmlns:a16="http://schemas.microsoft.com/office/drawing/2014/main" id="{00000000-0008-0000-1800-00008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0</xdr:rowOff>
        </xdr:to>
        <xdr:sp macro="" textlink="">
          <xdr:nvSpPr>
            <xdr:cNvPr id="226691" name="bpmDropDownFLU1576" hidden="1">
              <a:extLst>
                <a:ext uri="{63B3BB69-23CF-44E3-9099-C40C66FF867C}">
                  <a14:compatExt spid="_x0000_s226691"/>
                </a:ext>
                <a:ext uri="{FF2B5EF4-FFF2-40B4-BE49-F238E27FC236}">
                  <a16:creationId xmlns:a16="http://schemas.microsoft.com/office/drawing/2014/main" id="{00000000-0008-0000-1800-00008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9</xdr:col>
          <xdr:colOff>0</xdr:colOff>
          <xdr:row>109</xdr:row>
          <xdr:rowOff>0</xdr:rowOff>
        </xdr:to>
        <xdr:sp macro="" textlink="">
          <xdr:nvSpPr>
            <xdr:cNvPr id="226692" name="bpmDropDownFLU1577" hidden="1">
              <a:extLst>
                <a:ext uri="{63B3BB69-23CF-44E3-9099-C40C66FF867C}">
                  <a14:compatExt spid="_x0000_s226692"/>
                </a:ext>
                <a:ext uri="{FF2B5EF4-FFF2-40B4-BE49-F238E27FC236}">
                  <a16:creationId xmlns:a16="http://schemas.microsoft.com/office/drawing/2014/main" id="{00000000-0008-0000-1800-00008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9</xdr:col>
          <xdr:colOff>0</xdr:colOff>
          <xdr:row>110</xdr:row>
          <xdr:rowOff>0</xdr:rowOff>
        </xdr:to>
        <xdr:sp macro="" textlink="">
          <xdr:nvSpPr>
            <xdr:cNvPr id="226693" name="bpmDropDownFLU1578" hidden="1">
              <a:extLst>
                <a:ext uri="{63B3BB69-23CF-44E3-9099-C40C66FF867C}">
                  <a14:compatExt spid="_x0000_s226693"/>
                </a:ext>
                <a:ext uri="{FF2B5EF4-FFF2-40B4-BE49-F238E27FC236}">
                  <a16:creationId xmlns:a16="http://schemas.microsoft.com/office/drawing/2014/main" id="{00000000-0008-0000-1800-00008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0</xdr:rowOff>
        </xdr:from>
        <xdr:to>
          <xdr:col>9</xdr:col>
          <xdr:colOff>0</xdr:colOff>
          <xdr:row>111</xdr:row>
          <xdr:rowOff>0</xdr:rowOff>
        </xdr:to>
        <xdr:sp macro="" textlink="">
          <xdr:nvSpPr>
            <xdr:cNvPr id="226695" name="bpmDropDownFLU1580" hidden="1">
              <a:extLst>
                <a:ext uri="{63B3BB69-23CF-44E3-9099-C40C66FF867C}">
                  <a14:compatExt spid="_x0000_s226695"/>
                </a:ext>
                <a:ext uri="{FF2B5EF4-FFF2-40B4-BE49-F238E27FC236}">
                  <a16:creationId xmlns:a16="http://schemas.microsoft.com/office/drawing/2014/main" id="{00000000-0008-0000-1800-00008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111</xdr:row>
          <xdr:rowOff>0</xdr:rowOff>
        </xdr:from>
        <xdr:to>
          <xdr:col>9</xdr:col>
          <xdr:colOff>0</xdr:colOff>
          <xdr:row>112</xdr:row>
          <xdr:rowOff>0</xdr:rowOff>
        </xdr:to>
        <xdr:sp macro="" textlink="">
          <xdr:nvSpPr>
            <xdr:cNvPr id="226696" name="bpmDropDownFLU1581" hidden="1">
              <a:extLst>
                <a:ext uri="{63B3BB69-23CF-44E3-9099-C40C66FF867C}">
                  <a14:compatExt spid="_x0000_s226696"/>
                </a:ext>
                <a:ext uri="{FF2B5EF4-FFF2-40B4-BE49-F238E27FC236}">
                  <a16:creationId xmlns:a16="http://schemas.microsoft.com/office/drawing/2014/main" id="{00000000-0008-0000-1800-00008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9</xdr:col>
          <xdr:colOff>0</xdr:colOff>
          <xdr:row>113</xdr:row>
          <xdr:rowOff>0</xdr:rowOff>
        </xdr:to>
        <xdr:sp macro="" textlink="">
          <xdr:nvSpPr>
            <xdr:cNvPr id="226697" name="bpmDropDownFLU1582" hidden="1">
              <a:extLst>
                <a:ext uri="{63B3BB69-23CF-44E3-9099-C40C66FF867C}">
                  <a14:compatExt spid="_x0000_s226697"/>
                </a:ext>
                <a:ext uri="{FF2B5EF4-FFF2-40B4-BE49-F238E27FC236}">
                  <a16:creationId xmlns:a16="http://schemas.microsoft.com/office/drawing/2014/main" id="{00000000-0008-0000-1800-00008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0</xdr:rowOff>
        </xdr:from>
        <xdr:to>
          <xdr:col>9</xdr:col>
          <xdr:colOff>0</xdr:colOff>
          <xdr:row>114</xdr:row>
          <xdr:rowOff>0</xdr:rowOff>
        </xdr:to>
        <xdr:sp macro="" textlink="">
          <xdr:nvSpPr>
            <xdr:cNvPr id="226698" name="bpmDropDownFLU1583" hidden="1">
              <a:extLst>
                <a:ext uri="{63B3BB69-23CF-44E3-9099-C40C66FF867C}">
                  <a14:compatExt spid="_x0000_s226698"/>
                </a:ext>
                <a:ext uri="{FF2B5EF4-FFF2-40B4-BE49-F238E27FC236}">
                  <a16:creationId xmlns:a16="http://schemas.microsoft.com/office/drawing/2014/main" id="{00000000-0008-0000-1800-00008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114</xdr:row>
          <xdr:rowOff>0</xdr:rowOff>
        </xdr:from>
        <xdr:to>
          <xdr:col>9</xdr:col>
          <xdr:colOff>0</xdr:colOff>
          <xdr:row>115</xdr:row>
          <xdr:rowOff>0</xdr:rowOff>
        </xdr:to>
        <xdr:sp macro="" textlink="">
          <xdr:nvSpPr>
            <xdr:cNvPr id="226699" name="bpmDropDownFLU1584" hidden="1">
              <a:extLst>
                <a:ext uri="{63B3BB69-23CF-44E3-9099-C40C66FF867C}">
                  <a14:compatExt spid="_x0000_s226699"/>
                </a:ext>
                <a:ext uri="{FF2B5EF4-FFF2-40B4-BE49-F238E27FC236}">
                  <a16:creationId xmlns:a16="http://schemas.microsoft.com/office/drawing/2014/main" id="{00000000-0008-0000-1800-00008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9</xdr:col>
          <xdr:colOff>0</xdr:colOff>
          <xdr:row>116</xdr:row>
          <xdr:rowOff>0</xdr:rowOff>
        </xdr:to>
        <xdr:sp macro="" textlink="">
          <xdr:nvSpPr>
            <xdr:cNvPr id="226700" name="bpmDropDownFLU1585" hidden="1">
              <a:extLst>
                <a:ext uri="{63B3BB69-23CF-44E3-9099-C40C66FF867C}">
                  <a14:compatExt spid="_x0000_s226700"/>
                </a:ext>
                <a:ext uri="{FF2B5EF4-FFF2-40B4-BE49-F238E27FC236}">
                  <a16:creationId xmlns:a16="http://schemas.microsoft.com/office/drawing/2014/main" id="{00000000-0008-0000-1800-00008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7</xdr:col>
          <xdr:colOff>0</xdr:colOff>
          <xdr:row>122</xdr:row>
          <xdr:rowOff>0</xdr:rowOff>
        </xdr:to>
        <xdr:sp macro="" textlink="">
          <xdr:nvSpPr>
            <xdr:cNvPr id="226701" name="bpmDropDownFLU1586" hidden="1">
              <a:extLst>
                <a:ext uri="{63B3BB69-23CF-44E3-9099-C40C66FF867C}">
                  <a14:compatExt spid="_x0000_s226701"/>
                </a:ext>
                <a:ext uri="{FF2B5EF4-FFF2-40B4-BE49-F238E27FC236}">
                  <a16:creationId xmlns:a16="http://schemas.microsoft.com/office/drawing/2014/main" id="{00000000-0008-0000-1800-00008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0</xdr:rowOff>
        </xdr:from>
        <xdr:to>
          <xdr:col>7</xdr:col>
          <xdr:colOff>0</xdr:colOff>
          <xdr:row>123</xdr:row>
          <xdr:rowOff>0</xdr:rowOff>
        </xdr:to>
        <xdr:sp macro="" textlink="">
          <xdr:nvSpPr>
            <xdr:cNvPr id="226702" name="bpmDropDownFLU1587" hidden="1">
              <a:extLst>
                <a:ext uri="{63B3BB69-23CF-44E3-9099-C40C66FF867C}">
                  <a14:compatExt spid="_x0000_s226702"/>
                </a:ext>
                <a:ext uri="{FF2B5EF4-FFF2-40B4-BE49-F238E27FC236}">
                  <a16:creationId xmlns:a16="http://schemas.microsoft.com/office/drawing/2014/main" id="{00000000-0008-0000-1800-00008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7</xdr:col>
          <xdr:colOff>0</xdr:colOff>
          <xdr:row>124</xdr:row>
          <xdr:rowOff>0</xdr:rowOff>
        </xdr:to>
        <xdr:sp macro="" textlink="">
          <xdr:nvSpPr>
            <xdr:cNvPr id="226703" name="bpmDropDownFLU1588" hidden="1">
              <a:extLst>
                <a:ext uri="{63B3BB69-23CF-44E3-9099-C40C66FF867C}">
                  <a14:compatExt spid="_x0000_s226703"/>
                </a:ext>
                <a:ext uri="{FF2B5EF4-FFF2-40B4-BE49-F238E27FC236}">
                  <a16:creationId xmlns:a16="http://schemas.microsoft.com/office/drawing/2014/main" id="{00000000-0008-0000-1800-00008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7</xdr:col>
          <xdr:colOff>0</xdr:colOff>
          <xdr:row>125</xdr:row>
          <xdr:rowOff>0</xdr:rowOff>
        </xdr:to>
        <xdr:sp macro="" textlink="">
          <xdr:nvSpPr>
            <xdr:cNvPr id="226704" name="bpmDropDownFLU1589" hidden="1">
              <a:extLst>
                <a:ext uri="{63B3BB69-23CF-44E3-9099-C40C66FF867C}">
                  <a14:compatExt spid="_x0000_s226704"/>
                </a:ext>
                <a:ext uri="{FF2B5EF4-FFF2-40B4-BE49-F238E27FC236}">
                  <a16:creationId xmlns:a16="http://schemas.microsoft.com/office/drawing/2014/main" id="{00000000-0008-0000-1800-00009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7</xdr:col>
          <xdr:colOff>0</xdr:colOff>
          <xdr:row>126</xdr:row>
          <xdr:rowOff>0</xdr:rowOff>
        </xdr:to>
        <xdr:sp macro="" textlink="">
          <xdr:nvSpPr>
            <xdr:cNvPr id="226705" name="bpmDropDownFLU1590" hidden="1">
              <a:extLst>
                <a:ext uri="{63B3BB69-23CF-44E3-9099-C40C66FF867C}">
                  <a14:compatExt spid="_x0000_s226705"/>
                </a:ext>
                <a:ext uri="{FF2B5EF4-FFF2-40B4-BE49-F238E27FC236}">
                  <a16:creationId xmlns:a16="http://schemas.microsoft.com/office/drawing/2014/main" id="{00000000-0008-0000-1800-00009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226706" name="bpmDropDownFLU1591" hidden="1">
              <a:extLst>
                <a:ext uri="{63B3BB69-23CF-44E3-9099-C40C66FF867C}">
                  <a14:compatExt spid="_x0000_s226706"/>
                </a:ext>
                <a:ext uri="{FF2B5EF4-FFF2-40B4-BE49-F238E27FC236}">
                  <a16:creationId xmlns:a16="http://schemas.microsoft.com/office/drawing/2014/main" id="{00000000-0008-0000-1800-00009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226707" name="bpmDropDownFLU1592" hidden="1">
              <a:extLst>
                <a:ext uri="{63B3BB69-23CF-44E3-9099-C40C66FF867C}">
                  <a14:compatExt spid="_x0000_s226707"/>
                </a:ext>
                <a:ext uri="{FF2B5EF4-FFF2-40B4-BE49-F238E27FC236}">
                  <a16:creationId xmlns:a16="http://schemas.microsoft.com/office/drawing/2014/main" id="{00000000-0008-0000-1800-00009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7</xdr:col>
          <xdr:colOff>0</xdr:colOff>
          <xdr:row>129</xdr:row>
          <xdr:rowOff>0</xdr:rowOff>
        </xdr:to>
        <xdr:sp macro="" textlink="">
          <xdr:nvSpPr>
            <xdr:cNvPr id="226708" name="bpmDropDownFLU1593" hidden="1">
              <a:extLst>
                <a:ext uri="{63B3BB69-23CF-44E3-9099-C40C66FF867C}">
                  <a14:compatExt spid="_x0000_s226708"/>
                </a:ext>
                <a:ext uri="{FF2B5EF4-FFF2-40B4-BE49-F238E27FC236}">
                  <a16:creationId xmlns:a16="http://schemas.microsoft.com/office/drawing/2014/main" id="{00000000-0008-0000-1800-00009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226710" name="bpmDropDownFLU1595" hidden="1">
              <a:extLst>
                <a:ext uri="{63B3BB69-23CF-44E3-9099-C40C66FF867C}">
                  <a14:compatExt spid="_x0000_s226710"/>
                </a:ext>
                <a:ext uri="{FF2B5EF4-FFF2-40B4-BE49-F238E27FC236}">
                  <a16:creationId xmlns:a16="http://schemas.microsoft.com/office/drawing/2014/main" id="{00000000-0008-0000-1800-00009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226711" name="bpmDropDownFLU1596" hidden="1">
              <a:extLst>
                <a:ext uri="{63B3BB69-23CF-44E3-9099-C40C66FF867C}">
                  <a14:compatExt spid="_x0000_s226711"/>
                </a:ext>
                <a:ext uri="{FF2B5EF4-FFF2-40B4-BE49-F238E27FC236}">
                  <a16:creationId xmlns:a16="http://schemas.microsoft.com/office/drawing/2014/main" id="{00000000-0008-0000-1800-00009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226712" name="bpmDropDownFLU1597" hidden="1">
              <a:extLst>
                <a:ext uri="{63B3BB69-23CF-44E3-9099-C40C66FF867C}">
                  <a14:compatExt spid="_x0000_s226712"/>
                </a:ext>
                <a:ext uri="{FF2B5EF4-FFF2-40B4-BE49-F238E27FC236}">
                  <a16:creationId xmlns:a16="http://schemas.microsoft.com/office/drawing/2014/main" id="{00000000-0008-0000-1800-00009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226713" name="bpmDropDownFLU1598" hidden="1">
              <a:extLst>
                <a:ext uri="{63B3BB69-23CF-44E3-9099-C40C66FF867C}">
                  <a14:compatExt spid="_x0000_s226713"/>
                </a:ext>
                <a:ext uri="{FF2B5EF4-FFF2-40B4-BE49-F238E27FC236}">
                  <a16:creationId xmlns:a16="http://schemas.microsoft.com/office/drawing/2014/main" id="{00000000-0008-0000-1800-00009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226714" name="bpmDropDownFLU1599" hidden="1">
              <a:extLst>
                <a:ext uri="{63B3BB69-23CF-44E3-9099-C40C66FF867C}">
                  <a14:compatExt spid="_x0000_s226714"/>
                </a:ext>
                <a:ext uri="{FF2B5EF4-FFF2-40B4-BE49-F238E27FC236}">
                  <a16:creationId xmlns:a16="http://schemas.microsoft.com/office/drawing/2014/main" id="{00000000-0008-0000-1800-00009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226715" name="bpmDropDownFLU1600" hidden="1">
              <a:extLst>
                <a:ext uri="{63B3BB69-23CF-44E3-9099-C40C66FF867C}">
                  <a14:compatExt spid="_x0000_s226715"/>
                </a:ext>
                <a:ext uri="{FF2B5EF4-FFF2-40B4-BE49-F238E27FC236}">
                  <a16:creationId xmlns:a16="http://schemas.microsoft.com/office/drawing/2014/main" id="{00000000-0008-0000-1800-00009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226716" name="bpmDropDownFLU1601" hidden="1">
              <a:extLst>
                <a:ext uri="{63B3BB69-23CF-44E3-9099-C40C66FF867C}">
                  <a14:compatExt spid="_x0000_s226716"/>
                </a:ext>
                <a:ext uri="{FF2B5EF4-FFF2-40B4-BE49-F238E27FC236}">
                  <a16:creationId xmlns:a16="http://schemas.microsoft.com/office/drawing/2014/main" id="{00000000-0008-0000-1800-00009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226717" name="bpmDropDownFLU1602" hidden="1">
              <a:extLst>
                <a:ext uri="{63B3BB69-23CF-44E3-9099-C40C66FF867C}">
                  <a14:compatExt spid="_x0000_s226717"/>
                </a:ext>
                <a:ext uri="{FF2B5EF4-FFF2-40B4-BE49-F238E27FC236}">
                  <a16:creationId xmlns:a16="http://schemas.microsoft.com/office/drawing/2014/main" id="{00000000-0008-0000-1800-00009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226718" name="bpmDropDownFLU1603" hidden="1">
              <a:extLst>
                <a:ext uri="{63B3BB69-23CF-44E3-9099-C40C66FF867C}">
                  <a14:compatExt spid="_x0000_s226718"/>
                </a:ext>
                <a:ext uri="{FF2B5EF4-FFF2-40B4-BE49-F238E27FC236}">
                  <a16:creationId xmlns:a16="http://schemas.microsoft.com/office/drawing/2014/main" id="{00000000-0008-0000-1800-00009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226719" name="bpmDropDownFLU1604" hidden="1">
              <a:extLst>
                <a:ext uri="{63B3BB69-23CF-44E3-9099-C40C66FF867C}">
                  <a14:compatExt spid="_x0000_s226719"/>
                </a:ext>
                <a:ext uri="{FF2B5EF4-FFF2-40B4-BE49-F238E27FC236}">
                  <a16:creationId xmlns:a16="http://schemas.microsoft.com/office/drawing/2014/main" id="{00000000-0008-0000-1800-00009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226720" name="bpmDropDownFLU1605" hidden="1">
              <a:extLst>
                <a:ext uri="{63B3BB69-23CF-44E3-9099-C40C66FF867C}">
                  <a14:compatExt spid="_x0000_s226720"/>
                </a:ext>
                <a:ext uri="{FF2B5EF4-FFF2-40B4-BE49-F238E27FC236}">
                  <a16:creationId xmlns:a16="http://schemas.microsoft.com/office/drawing/2014/main" id="{00000000-0008-0000-1800-0000A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226721" name="bpmDropDownFLU1606" hidden="1">
              <a:extLst>
                <a:ext uri="{63B3BB69-23CF-44E3-9099-C40C66FF867C}">
                  <a14:compatExt spid="_x0000_s226721"/>
                </a:ext>
                <a:ext uri="{FF2B5EF4-FFF2-40B4-BE49-F238E27FC236}">
                  <a16:creationId xmlns:a16="http://schemas.microsoft.com/office/drawing/2014/main" id="{00000000-0008-0000-1800-0000A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226722" name="bpmDropDownFLU1607" hidden="1">
              <a:extLst>
                <a:ext uri="{63B3BB69-23CF-44E3-9099-C40C66FF867C}">
                  <a14:compatExt spid="_x0000_s226722"/>
                </a:ext>
                <a:ext uri="{FF2B5EF4-FFF2-40B4-BE49-F238E27FC236}">
                  <a16:creationId xmlns:a16="http://schemas.microsoft.com/office/drawing/2014/main" id="{00000000-0008-0000-1800-0000A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0</xdr:rowOff>
        </xdr:from>
        <xdr:to>
          <xdr:col>7</xdr:col>
          <xdr:colOff>0</xdr:colOff>
          <xdr:row>148</xdr:row>
          <xdr:rowOff>0</xdr:rowOff>
        </xdr:to>
        <xdr:sp macro="" textlink="">
          <xdr:nvSpPr>
            <xdr:cNvPr id="226723" name="bpmDropDownFLU1608" hidden="1">
              <a:extLst>
                <a:ext uri="{63B3BB69-23CF-44E3-9099-C40C66FF867C}">
                  <a14:compatExt spid="_x0000_s226723"/>
                </a:ext>
                <a:ext uri="{FF2B5EF4-FFF2-40B4-BE49-F238E27FC236}">
                  <a16:creationId xmlns:a16="http://schemas.microsoft.com/office/drawing/2014/main" id="{00000000-0008-0000-1800-0000A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7</xdr:col>
          <xdr:colOff>0</xdr:colOff>
          <xdr:row>149</xdr:row>
          <xdr:rowOff>0</xdr:rowOff>
        </xdr:to>
        <xdr:sp macro="" textlink="">
          <xdr:nvSpPr>
            <xdr:cNvPr id="226725" name="bpmDropDownFLU1610" hidden="1">
              <a:extLst>
                <a:ext uri="{63B3BB69-23CF-44E3-9099-C40C66FF867C}">
                  <a14:compatExt spid="_x0000_s226725"/>
                </a:ext>
                <a:ext uri="{FF2B5EF4-FFF2-40B4-BE49-F238E27FC236}">
                  <a16:creationId xmlns:a16="http://schemas.microsoft.com/office/drawing/2014/main" id="{00000000-0008-0000-1800-0000A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226726" name="bpmDropDownFLU1611" hidden="1">
              <a:extLst>
                <a:ext uri="{63B3BB69-23CF-44E3-9099-C40C66FF867C}">
                  <a14:compatExt spid="_x0000_s226726"/>
                </a:ext>
                <a:ext uri="{FF2B5EF4-FFF2-40B4-BE49-F238E27FC236}">
                  <a16:creationId xmlns:a16="http://schemas.microsoft.com/office/drawing/2014/main" id="{00000000-0008-0000-1800-0000A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226727" name="bpmDropDownFLU1612" hidden="1">
              <a:extLst>
                <a:ext uri="{63B3BB69-23CF-44E3-9099-C40C66FF867C}">
                  <a14:compatExt spid="_x0000_s226727"/>
                </a:ext>
                <a:ext uri="{FF2B5EF4-FFF2-40B4-BE49-F238E27FC236}">
                  <a16:creationId xmlns:a16="http://schemas.microsoft.com/office/drawing/2014/main" id="{00000000-0008-0000-1800-0000A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226728" name="bpmDropDownFLU1613" hidden="1">
              <a:extLst>
                <a:ext uri="{63B3BB69-23CF-44E3-9099-C40C66FF867C}">
                  <a14:compatExt spid="_x0000_s226728"/>
                </a:ext>
                <a:ext uri="{FF2B5EF4-FFF2-40B4-BE49-F238E27FC236}">
                  <a16:creationId xmlns:a16="http://schemas.microsoft.com/office/drawing/2014/main" id="{00000000-0008-0000-1800-0000A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226729" name="bpmDropDownFLU1614" hidden="1">
              <a:extLst>
                <a:ext uri="{63B3BB69-23CF-44E3-9099-C40C66FF867C}">
                  <a14:compatExt spid="_x0000_s226729"/>
                </a:ext>
                <a:ext uri="{FF2B5EF4-FFF2-40B4-BE49-F238E27FC236}">
                  <a16:creationId xmlns:a16="http://schemas.microsoft.com/office/drawing/2014/main" id="{00000000-0008-0000-1800-0000A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226730" name="bpmDropDownFLU1615" hidden="1">
              <a:extLst>
                <a:ext uri="{63B3BB69-23CF-44E3-9099-C40C66FF867C}">
                  <a14:compatExt spid="_x0000_s226730"/>
                </a:ext>
                <a:ext uri="{FF2B5EF4-FFF2-40B4-BE49-F238E27FC236}">
                  <a16:creationId xmlns:a16="http://schemas.microsoft.com/office/drawing/2014/main" id="{00000000-0008-0000-1800-0000A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226731" name="bpmDropDownFLU1616" hidden="1">
              <a:extLst>
                <a:ext uri="{63B3BB69-23CF-44E3-9099-C40C66FF867C}">
                  <a14:compatExt spid="_x0000_s226731"/>
                </a:ext>
                <a:ext uri="{FF2B5EF4-FFF2-40B4-BE49-F238E27FC236}">
                  <a16:creationId xmlns:a16="http://schemas.microsoft.com/office/drawing/2014/main" id="{00000000-0008-0000-1800-0000A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226732" name="bpmDropDownFLU1617" hidden="1">
              <a:extLst>
                <a:ext uri="{63B3BB69-23CF-44E3-9099-C40C66FF867C}">
                  <a14:compatExt spid="_x0000_s226732"/>
                </a:ext>
                <a:ext uri="{FF2B5EF4-FFF2-40B4-BE49-F238E27FC236}">
                  <a16:creationId xmlns:a16="http://schemas.microsoft.com/office/drawing/2014/main" id="{00000000-0008-0000-1800-0000A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7</xdr:col>
          <xdr:colOff>0</xdr:colOff>
          <xdr:row>162</xdr:row>
          <xdr:rowOff>0</xdr:rowOff>
        </xdr:to>
        <xdr:sp macro="" textlink="">
          <xdr:nvSpPr>
            <xdr:cNvPr id="226733" name="bpmDropDownFLU1618" hidden="1">
              <a:extLst>
                <a:ext uri="{63B3BB69-23CF-44E3-9099-C40C66FF867C}">
                  <a14:compatExt spid="_x0000_s226733"/>
                </a:ext>
                <a:ext uri="{FF2B5EF4-FFF2-40B4-BE49-F238E27FC236}">
                  <a16:creationId xmlns:a16="http://schemas.microsoft.com/office/drawing/2014/main" id="{00000000-0008-0000-1800-0000A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7</xdr:col>
          <xdr:colOff>0</xdr:colOff>
          <xdr:row>163</xdr:row>
          <xdr:rowOff>0</xdr:rowOff>
        </xdr:to>
        <xdr:sp macro="" textlink="">
          <xdr:nvSpPr>
            <xdr:cNvPr id="226734" name="bpmDropDownFLU1619" hidden="1">
              <a:extLst>
                <a:ext uri="{63B3BB69-23CF-44E3-9099-C40C66FF867C}">
                  <a14:compatExt spid="_x0000_s226734"/>
                </a:ext>
                <a:ext uri="{FF2B5EF4-FFF2-40B4-BE49-F238E27FC236}">
                  <a16:creationId xmlns:a16="http://schemas.microsoft.com/office/drawing/2014/main" id="{00000000-0008-0000-1800-0000A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226735" name="bpmDropDownFLU1620" hidden="1">
              <a:extLst>
                <a:ext uri="{63B3BB69-23CF-44E3-9099-C40C66FF867C}">
                  <a14:compatExt spid="_x0000_s226735"/>
                </a:ext>
                <a:ext uri="{FF2B5EF4-FFF2-40B4-BE49-F238E27FC236}">
                  <a16:creationId xmlns:a16="http://schemas.microsoft.com/office/drawing/2014/main" id="{00000000-0008-0000-1800-0000A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226736" name="bpmDropDownFLU1621" hidden="1">
              <a:extLst>
                <a:ext uri="{63B3BB69-23CF-44E3-9099-C40C66FF867C}">
                  <a14:compatExt spid="_x0000_s226736"/>
                </a:ext>
                <a:ext uri="{FF2B5EF4-FFF2-40B4-BE49-F238E27FC236}">
                  <a16:creationId xmlns:a16="http://schemas.microsoft.com/office/drawing/2014/main" id="{00000000-0008-0000-1800-0000B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226737" name="bpmDropDownFLU1622" hidden="1">
              <a:extLst>
                <a:ext uri="{63B3BB69-23CF-44E3-9099-C40C66FF867C}">
                  <a14:compatExt spid="_x0000_s226737"/>
                </a:ext>
                <a:ext uri="{FF2B5EF4-FFF2-40B4-BE49-F238E27FC236}">
                  <a16:creationId xmlns:a16="http://schemas.microsoft.com/office/drawing/2014/main" id="{00000000-0008-0000-1800-0000B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226738" name="bpmDropDownFLU1623" hidden="1">
              <a:extLst>
                <a:ext uri="{63B3BB69-23CF-44E3-9099-C40C66FF867C}">
                  <a14:compatExt spid="_x0000_s226738"/>
                </a:ext>
                <a:ext uri="{FF2B5EF4-FFF2-40B4-BE49-F238E27FC236}">
                  <a16:creationId xmlns:a16="http://schemas.microsoft.com/office/drawing/2014/main" id="{00000000-0008-0000-1800-0000B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226740" name="bpmDropDownFLU1625" hidden="1">
              <a:extLst>
                <a:ext uri="{63B3BB69-23CF-44E3-9099-C40C66FF867C}">
                  <a14:compatExt spid="_x0000_s226740"/>
                </a:ext>
                <a:ext uri="{FF2B5EF4-FFF2-40B4-BE49-F238E27FC236}">
                  <a16:creationId xmlns:a16="http://schemas.microsoft.com/office/drawing/2014/main" id="{00000000-0008-0000-1800-0000B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226741" name="bpmDropDownFLU1626" hidden="1">
              <a:extLst>
                <a:ext uri="{63B3BB69-23CF-44E3-9099-C40C66FF867C}">
                  <a14:compatExt spid="_x0000_s226741"/>
                </a:ext>
                <a:ext uri="{FF2B5EF4-FFF2-40B4-BE49-F238E27FC236}">
                  <a16:creationId xmlns:a16="http://schemas.microsoft.com/office/drawing/2014/main" id="{00000000-0008-0000-1800-0000B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226742" name="bpmDropDownFLU1627" hidden="1">
              <a:extLst>
                <a:ext uri="{63B3BB69-23CF-44E3-9099-C40C66FF867C}">
                  <a14:compatExt spid="_x0000_s226742"/>
                </a:ext>
                <a:ext uri="{FF2B5EF4-FFF2-40B4-BE49-F238E27FC236}">
                  <a16:creationId xmlns:a16="http://schemas.microsoft.com/office/drawing/2014/main" id="{00000000-0008-0000-1800-0000B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7</xdr:col>
          <xdr:colOff>0</xdr:colOff>
          <xdr:row>171</xdr:row>
          <xdr:rowOff>0</xdr:rowOff>
        </xdr:to>
        <xdr:sp macro="" textlink="">
          <xdr:nvSpPr>
            <xdr:cNvPr id="226743" name="bpmDropDownFLU1628" hidden="1">
              <a:extLst>
                <a:ext uri="{63B3BB69-23CF-44E3-9099-C40C66FF867C}">
                  <a14:compatExt spid="_x0000_s226743"/>
                </a:ext>
                <a:ext uri="{FF2B5EF4-FFF2-40B4-BE49-F238E27FC236}">
                  <a16:creationId xmlns:a16="http://schemas.microsoft.com/office/drawing/2014/main" id="{00000000-0008-0000-1800-0000B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171</xdr:row>
          <xdr:rowOff>0</xdr:rowOff>
        </xdr:from>
        <xdr:to>
          <xdr:col>7</xdr:col>
          <xdr:colOff>0</xdr:colOff>
          <xdr:row>172</xdr:row>
          <xdr:rowOff>0</xdr:rowOff>
        </xdr:to>
        <xdr:sp macro="" textlink="">
          <xdr:nvSpPr>
            <xdr:cNvPr id="226744" name="bpmDropDownFLU1629" hidden="1">
              <a:extLst>
                <a:ext uri="{63B3BB69-23CF-44E3-9099-C40C66FF867C}">
                  <a14:compatExt spid="_x0000_s226744"/>
                </a:ext>
                <a:ext uri="{FF2B5EF4-FFF2-40B4-BE49-F238E27FC236}">
                  <a16:creationId xmlns:a16="http://schemas.microsoft.com/office/drawing/2014/main" id="{00000000-0008-0000-1800-0000B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7</xdr:col>
          <xdr:colOff>0</xdr:colOff>
          <xdr:row>173</xdr:row>
          <xdr:rowOff>0</xdr:rowOff>
        </xdr:to>
        <xdr:sp macro="" textlink="">
          <xdr:nvSpPr>
            <xdr:cNvPr id="226745" name="bpmDropDownFLU1630" hidden="1">
              <a:extLst>
                <a:ext uri="{63B3BB69-23CF-44E3-9099-C40C66FF867C}">
                  <a14:compatExt spid="_x0000_s226745"/>
                </a:ext>
                <a:ext uri="{FF2B5EF4-FFF2-40B4-BE49-F238E27FC236}">
                  <a16:creationId xmlns:a16="http://schemas.microsoft.com/office/drawing/2014/main" id="{00000000-0008-0000-1800-0000B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226761" name="bpmDropDownFLU1646" hidden="1">
              <a:extLst>
                <a:ext uri="{63B3BB69-23CF-44E3-9099-C40C66FF867C}">
                  <a14:compatExt spid="_x0000_s226761"/>
                </a:ext>
                <a:ext uri="{FF2B5EF4-FFF2-40B4-BE49-F238E27FC236}">
                  <a16:creationId xmlns:a16="http://schemas.microsoft.com/office/drawing/2014/main" id="{00000000-0008-0000-1800-0000C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226762" name="bpmDropDownFLU1647" hidden="1">
              <a:extLst>
                <a:ext uri="{63B3BB69-23CF-44E3-9099-C40C66FF867C}">
                  <a14:compatExt spid="_x0000_s226762"/>
                </a:ext>
                <a:ext uri="{FF2B5EF4-FFF2-40B4-BE49-F238E27FC236}">
                  <a16:creationId xmlns:a16="http://schemas.microsoft.com/office/drawing/2014/main" id="{00000000-0008-0000-1800-0000C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226763" name="bpmDropDownFLU1648" hidden="1">
              <a:extLst>
                <a:ext uri="{63B3BB69-23CF-44E3-9099-C40C66FF867C}">
                  <a14:compatExt spid="_x0000_s226763"/>
                </a:ext>
                <a:ext uri="{FF2B5EF4-FFF2-40B4-BE49-F238E27FC236}">
                  <a16:creationId xmlns:a16="http://schemas.microsoft.com/office/drawing/2014/main" id="{00000000-0008-0000-1800-0000C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226764" name="bpmDropDownFLU1649" hidden="1">
              <a:extLst>
                <a:ext uri="{63B3BB69-23CF-44E3-9099-C40C66FF867C}">
                  <a14:compatExt spid="_x0000_s226764"/>
                </a:ext>
                <a:ext uri="{FF2B5EF4-FFF2-40B4-BE49-F238E27FC236}">
                  <a16:creationId xmlns:a16="http://schemas.microsoft.com/office/drawing/2014/main" id="{00000000-0008-0000-1800-0000C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226765" name="bpmDropDownFLU1650" hidden="1">
              <a:extLst>
                <a:ext uri="{63B3BB69-23CF-44E3-9099-C40C66FF867C}">
                  <a14:compatExt spid="_x0000_s226765"/>
                </a:ext>
                <a:ext uri="{FF2B5EF4-FFF2-40B4-BE49-F238E27FC236}">
                  <a16:creationId xmlns:a16="http://schemas.microsoft.com/office/drawing/2014/main" id="{00000000-0008-0000-1800-0000C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226766" name="bpmDropDownFLU1651" hidden="1">
              <a:extLst>
                <a:ext uri="{63B3BB69-23CF-44E3-9099-C40C66FF867C}">
                  <a14:compatExt spid="_x0000_s226766"/>
                </a:ext>
                <a:ext uri="{FF2B5EF4-FFF2-40B4-BE49-F238E27FC236}">
                  <a16:creationId xmlns:a16="http://schemas.microsoft.com/office/drawing/2014/main" id="{00000000-0008-0000-1800-0000C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226767" name="bpmDropDownFLU1652" hidden="1">
              <a:extLst>
                <a:ext uri="{63B3BB69-23CF-44E3-9099-C40C66FF867C}">
                  <a14:compatExt spid="_x0000_s226767"/>
                </a:ext>
                <a:ext uri="{FF2B5EF4-FFF2-40B4-BE49-F238E27FC236}">
                  <a16:creationId xmlns:a16="http://schemas.microsoft.com/office/drawing/2014/main" id="{00000000-0008-0000-1800-0000C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226768" name="bpmDropDownFLU1653" hidden="1">
              <a:extLst>
                <a:ext uri="{63B3BB69-23CF-44E3-9099-C40C66FF867C}">
                  <a14:compatExt spid="_x0000_s226768"/>
                </a:ext>
                <a:ext uri="{FF2B5EF4-FFF2-40B4-BE49-F238E27FC236}">
                  <a16:creationId xmlns:a16="http://schemas.microsoft.com/office/drawing/2014/main" id="{00000000-0008-0000-1800-0000D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226770" name="bpmDropDownFLU1655" hidden="1">
              <a:extLst>
                <a:ext uri="{63B3BB69-23CF-44E3-9099-C40C66FF867C}">
                  <a14:compatExt spid="_x0000_s226770"/>
                </a:ext>
                <a:ext uri="{FF2B5EF4-FFF2-40B4-BE49-F238E27FC236}">
                  <a16:creationId xmlns:a16="http://schemas.microsoft.com/office/drawing/2014/main" id="{00000000-0008-0000-1800-0000D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226771" name="bpmDropDownFLU1656" hidden="1">
              <a:extLst>
                <a:ext uri="{63B3BB69-23CF-44E3-9099-C40C66FF867C}">
                  <a14:compatExt spid="_x0000_s226771"/>
                </a:ext>
                <a:ext uri="{FF2B5EF4-FFF2-40B4-BE49-F238E27FC236}">
                  <a16:creationId xmlns:a16="http://schemas.microsoft.com/office/drawing/2014/main" id="{00000000-0008-0000-1800-0000D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226772" name="bpmDropDownFLU1657" hidden="1">
              <a:extLst>
                <a:ext uri="{63B3BB69-23CF-44E3-9099-C40C66FF867C}">
                  <a14:compatExt spid="_x0000_s226772"/>
                </a:ext>
                <a:ext uri="{FF2B5EF4-FFF2-40B4-BE49-F238E27FC236}">
                  <a16:creationId xmlns:a16="http://schemas.microsoft.com/office/drawing/2014/main" id="{00000000-0008-0000-1800-0000D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7</xdr:col>
          <xdr:colOff>0</xdr:colOff>
          <xdr:row>67</xdr:row>
          <xdr:rowOff>0</xdr:rowOff>
        </xdr:to>
        <xdr:sp macro="" textlink="">
          <xdr:nvSpPr>
            <xdr:cNvPr id="226773" name="bpmDropDownFLU1658" hidden="1">
              <a:extLst>
                <a:ext uri="{63B3BB69-23CF-44E3-9099-C40C66FF867C}">
                  <a14:compatExt spid="_x0000_s226773"/>
                </a:ext>
                <a:ext uri="{FF2B5EF4-FFF2-40B4-BE49-F238E27FC236}">
                  <a16:creationId xmlns:a16="http://schemas.microsoft.com/office/drawing/2014/main" id="{00000000-0008-0000-1800-0000D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7</xdr:col>
          <xdr:colOff>0</xdr:colOff>
          <xdr:row>68</xdr:row>
          <xdr:rowOff>0</xdr:rowOff>
        </xdr:to>
        <xdr:sp macro="" textlink="">
          <xdr:nvSpPr>
            <xdr:cNvPr id="226774" name="bpmDropDownFLU1659" hidden="1">
              <a:extLst>
                <a:ext uri="{63B3BB69-23CF-44E3-9099-C40C66FF867C}">
                  <a14:compatExt spid="_x0000_s226774"/>
                </a:ext>
                <a:ext uri="{FF2B5EF4-FFF2-40B4-BE49-F238E27FC236}">
                  <a16:creationId xmlns:a16="http://schemas.microsoft.com/office/drawing/2014/main" id="{00000000-0008-0000-1800-0000D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7</xdr:col>
          <xdr:colOff>0</xdr:colOff>
          <xdr:row>69</xdr:row>
          <xdr:rowOff>0</xdr:rowOff>
        </xdr:to>
        <xdr:sp macro="" textlink="">
          <xdr:nvSpPr>
            <xdr:cNvPr id="226775" name="bpmDropDownFLU1660" hidden="1">
              <a:extLst>
                <a:ext uri="{63B3BB69-23CF-44E3-9099-C40C66FF867C}">
                  <a14:compatExt spid="_x0000_s226775"/>
                </a:ext>
                <a:ext uri="{FF2B5EF4-FFF2-40B4-BE49-F238E27FC236}">
                  <a16:creationId xmlns:a16="http://schemas.microsoft.com/office/drawing/2014/main" id="{00000000-0008-0000-1800-0000D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7</xdr:col>
          <xdr:colOff>0</xdr:colOff>
          <xdr:row>188</xdr:row>
          <xdr:rowOff>0</xdr:rowOff>
        </xdr:to>
        <xdr:sp macro="" textlink="">
          <xdr:nvSpPr>
            <xdr:cNvPr id="226776" name="bpmDropDownFLU1661" hidden="1">
              <a:extLst>
                <a:ext uri="{63B3BB69-23CF-44E3-9099-C40C66FF867C}">
                  <a14:compatExt spid="_x0000_s226776"/>
                </a:ext>
                <a:ext uri="{FF2B5EF4-FFF2-40B4-BE49-F238E27FC236}">
                  <a16:creationId xmlns:a16="http://schemas.microsoft.com/office/drawing/2014/main" id="{00000000-0008-0000-1800-0000D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0</xdr:rowOff>
        </xdr:from>
        <xdr:to>
          <xdr:col>7</xdr:col>
          <xdr:colOff>0</xdr:colOff>
          <xdr:row>189</xdr:row>
          <xdr:rowOff>0</xdr:rowOff>
        </xdr:to>
        <xdr:sp macro="" textlink="">
          <xdr:nvSpPr>
            <xdr:cNvPr id="226777" name="bpmDropDownFLU1662" hidden="1">
              <a:extLst>
                <a:ext uri="{63B3BB69-23CF-44E3-9099-C40C66FF867C}">
                  <a14:compatExt spid="_x0000_s226777"/>
                </a:ext>
                <a:ext uri="{FF2B5EF4-FFF2-40B4-BE49-F238E27FC236}">
                  <a16:creationId xmlns:a16="http://schemas.microsoft.com/office/drawing/2014/main" id="{00000000-0008-0000-1800-0000D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0</xdr:rowOff>
        </xdr:from>
        <xdr:to>
          <xdr:col>7</xdr:col>
          <xdr:colOff>0</xdr:colOff>
          <xdr:row>190</xdr:row>
          <xdr:rowOff>0</xdr:rowOff>
        </xdr:to>
        <xdr:sp macro="" textlink="">
          <xdr:nvSpPr>
            <xdr:cNvPr id="226778" name="bpmDropDownFLU1663" hidden="1">
              <a:extLst>
                <a:ext uri="{63B3BB69-23CF-44E3-9099-C40C66FF867C}">
                  <a14:compatExt spid="_x0000_s226778"/>
                </a:ext>
                <a:ext uri="{FF2B5EF4-FFF2-40B4-BE49-F238E27FC236}">
                  <a16:creationId xmlns:a16="http://schemas.microsoft.com/office/drawing/2014/main" id="{00000000-0008-0000-1800-0000D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7</xdr:col>
          <xdr:colOff>0</xdr:colOff>
          <xdr:row>191</xdr:row>
          <xdr:rowOff>0</xdr:rowOff>
        </xdr:to>
        <xdr:sp macro="" textlink="">
          <xdr:nvSpPr>
            <xdr:cNvPr id="226779" name="bpmDropDownFLU1664" hidden="1">
              <a:extLst>
                <a:ext uri="{63B3BB69-23CF-44E3-9099-C40C66FF867C}">
                  <a14:compatExt spid="_x0000_s226779"/>
                </a:ext>
                <a:ext uri="{FF2B5EF4-FFF2-40B4-BE49-F238E27FC236}">
                  <a16:creationId xmlns:a16="http://schemas.microsoft.com/office/drawing/2014/main" id="{00000000-0008-0000-1800-0000D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191</xdr:row>
          <xdr:rowOff>0</xdr:rowOff>
        </xdr:from>
        <xdr:to>
          <xdr:col>7</xdr:col>
          <xdr:colOff>0</xdr:colOff>
          <xdr:row>192</xdr:row>
          <xdr:rowOff>0</xdr:rowOff>
        </xdr:to>
        <xdr:sp macro="" textlink="">
          <xdr:nvSpPr>
            <xdr:cNvPr id="226780" name="bpmDropDownFLU1665" hidden="1">
              <a:extLst>
                <a:ext uri="{63B3BB69-23CF-44E3-9099-C40C66FF867C}">
                  <a14:compatExt spid="_x0000_s226780"/>
                </a:ext>
                <a:ext uri="{FF2B5EF4-FFF2-40B4-BE49-F238E27FC236}">
                  <a16:creationId xmlns:a16="http://schemas.microsoft.com/office/drawing/2014/main" id="{00000000-0008-0000-1800-0000D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7</xdr:col>
          <xdr:colOff>0</xdr:colOff>
          <xdr:row>193</xdr:row>
          <xdr:rowOff>0</xdr:rowOff>
        </xdr:to>
        <xdr:sp macro="" textlink="">
          <xdr:nvSpPr>
            <xdr:cNvPr id="226781" name="bpmDropDownFLU1666" hidden="1">
              <a:extLst>
                <a:ext uri="{63B3BB69-23CF-44E3-9099-C40C66FF867C}">
                  <a14:compatExt spid="_x0000_s226781"/>
                </a:ext>
                <a:ext uri="{FF2B5EF4-FFF2-40B4-BE49-F238E27FC236}">
                  <a16:creationId xmlns:a16="http://schemas.microsoft.com/office/drawing/2014/main" id="{00000000-0008-0000-1800-0000D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7</xdr:col>
          <xdr:colOff>0</xdr:colOff>
          <xdr:row>194</xdr:row>
          <xdr:rowOff>0</xdr:rowOff>
        </xdr:to>
        <xdr:sp macro="" textlink="">
          <xdr:nvSpPr>
            <xdr:cNvPr id="226782" name="bpmDropDownFLU1667" hidden="1">
              <a:extLst>
                <a:ext uri="{63B3BB69-23CF-44E3-9099-C40C66FF867C}">
                  <a14:compatExt spid="_x0000_s226782"/>
                </a:ext>
                <a:ext uri="{FF2B5EF4-FFF2-40B4-BE49-F238E27FC236}">
                  <a16:creationId xmlns:a16="http://schemas.microsoft.com/office/drawing/2014/main" id="{00000000-0008-0000-1800-0000D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7</xdr:col>
          <xdr:colOff>0</xdr:colOff>
          <xdr:row>195</xdr:row>
          <xdr:rowOff>0</xdr:rowOff>
        </xdr:to>
        <xdr:sp macro="" textlink="">
          <xdr:nvSpPr>
            <xdr:cNvPr id="226783" name="bpmDropDownFLU1668" hidden="1">
              <a:extLst>
                <a:ext uri="{63B3BB69-23CF-44E3-9099-C40C66FF867C}">
                  <a14:compatExt spid="_x0000_s226783"/>
                </a:ext>
                <a:ext uri="{FF2B5EF4-FFF2-40B4-BE49-F238E27FC236}">
                  <a16:creationId xmlns:a16="http://schemas.microsoft.com/office/drawing/2014/main" id="{00000000-0008-0000-1800-0000D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7</xdr:col>
          <xdr:colOff>0</xdr:colOff>
          <xdr:row>196</xdr:row>
          <xdr:rowOff>0</xdr:rowOff>
        </xdr:to>
        <xdr:sp macro="" textlink="">
          <xdr:nvSpPr>
            <xdr:cNvPr id="226785" name="bpmDropDownFLU1670" hidden="1">
              <a:extLst>
                <a:ext uri="{63B3BB69-23CF-44E3-9099-C40C66FF867C}">
                  <a14:compatExt spid="_x0000_s226785"/>
                </a:ext>
                <a:ext uri="{FF2B5EF4-FFF2-40B4-BE49-F238E27FC236}">
                  <a16:creationId xmlns:a16="http://schemas.microsoft.com/office/drawing/2014/main" id="{00000000-0008-0000-1800-0000E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7</xdr:col>
          <xdr:colOff>0</xdr:colOff>
          <xdr:row>197</xdr:row>
          <xdr:rowOff>0</xdr:rowOff>
        </xdr:to>
        <xdr:sp macro="" textlink="">
          <xdr:nvSpPr>
            <xdr:cNvPr id="226786" name="bpmDropDownFLU1671" hidden="1">
              <a:extLst>
                <a:ext uri="{63B3BB69-23CF-44E3-9099-C40C66FF867C}">
                  <a14:compatExt spid="_x0000_s226786"/>
                </a:ext>
                <a:ext uri="{FF2B5EF4-FFF2-40B4-BE49-F238E27FC236}">
                  <a16:creationId xmlns:a16="http://schemas.microsoft.com/office/drawing/2014/main" id="{00000000-0008-0000-1800-0000E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0</xdr:rowOff>
        </xdr:from>
        <xdr:to>
          <xdr:col>7</xdr:col>
          <xdr:colOff>0</xdr:colOff>
          <xdr:row>198</xdr:row>
          <xdr:rowOff>0</xdr:rowOff>
        </xdr:to>
        <xdr:sp macro="" textlink="">
          <xdr:nvSpPr>
            <xdr:cNvPr id="226787" name="bpmDropDownFLU1672" hidden="1">
              <a:extLst>
                <a:ext uri="{63B3BB69-23CF-44E3-9099-C40C66FF867C}">
                  <a14:compatExt spid="_x0000_s226787"/>
                </a:ext>
                <a:ext uri="{FF2B5EF4-FFF2-40B4-BE49-F238E27FC236}">
                  <a16:creationId xmlns:a16="http://schemas.microsoft.com/office/drawing/2014/main" id="{00000000-0008-0000-1800-0000E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198</xdr:row>
          <xdr:rowOff>0</xdr:rowOff>
        </xdr:from>
        <xdr:to>
          <xdr:col>7</xdr:col>
          <xdr:colOff>0</xdr:colOff>
          <xdr:row>199</xdr:row>
          <xdr:rowOff>0</xdr:rowOff>
        </xdr:to>
        <xdr:sp macro="" textlink="">
          <xdr:nvSpPr>
            <xdr:cNvPr id="226788" name="bpmDropDownFLU1673" hidden="1">
              <a:extLst>
                <a:ext uri="{63B3BB69-23CF-44E3-9099-C40C66FF867C}">
                  <a14:compatExt spid="_x0000_s226788"/>
                </a:ext>
                <a:ext uri="{FF2B5EF4-FFF2-40B4-BE49-F238E27FC236}">
                  <a16:creationId xmlns:a16="http://schemas.microsoft.com/office/drawing/2014/main" id="{00000000-0008-0000-1800-0000E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7</xdr:col>
          <xdr:colOff>0</xdr:colOff>
          <xdr:row>200</xdr:row>
          <xdr:rowOff>0</xdr:rowOff>
        </xdr:to>
        <xdr:sp macro="" textlink="">
          <xdr:nvSpPr>
            <xdr:cNvPr id="226789" name="bpmDropDownFLU1674" hidden="1">
              <a:extLst>
                <a:ext uri="{63B3BB69-23CF-44E3-9099-C40C66FF867C}">
                  <a14:compatExt spid="_x0000_s226789"/>
                </a:ext>
                <a:ext uri="{FF2B5EF4-FFF2-40B4-BE49-F238E27FC236}">
                  <a16:creationId xmlns:a16="http://schemas.microsoft.com/office/drawing/2014/main" id="{00000000-0008-0000-1800-0000E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7</xdr:col>
          <xdr:colOff>0</xdr:colOff>
          <xdr:row>201</xdr:row>
          <xdr:rowOff>0</xdr:rowOff>
        </xdr:to>
        <xdr:sp macro="" textlink="">
          <xdr:nvSpPr>
            <xdr:cNvPr id="226790" name="bpmDropDownFLU1675" hidden="1">
              <a:extLst>
                <a:ext uri="{63B3BB69-23CF-44E3-9099-C40C66FF867C}">
                  <a14:compatExt spid="_x0000_s226790"/>
                </a:ext>
                <a:ext uri="{FF2B5EF4-FFF2-40B4-BE49-F238E27FC236}">
                  <a16:creationId xmlns:a16="http://schemas.microsoft.com/office/drawing/2014/main" id="{00000000-0008-0000-1800-0000E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9</xdr:col>
          <xdr:colOff>0</xdr:colOff>
          <xdr:row>188</xdr:row>
          <xdr:rowOff>0</xdr:rowOff>
        </xdr:to>
        <xdr:sp macro="" textlink="">
          <xdr:nvSpPr>
            <xdr:cNvPr id="226791" name="bpmDropDownFLU1676" hidden="1">
              <a:extLst>
                <a:ext uri="{63B3BB69-23CF-44E3-9099-C40C66FF867C}">
                  <a14:compatExt spid="_x0000_s226791"/>
                </a:ext>
                <a:ext uri="{FF2B5EF4-FFF2-40B4-BE49-F238E27FC236}">
                  <a16:creationId xmlns:a16="http://schemas.microsoft.com/office/drawing/2014/main" id="{00000000-0008-0000-1800-0000E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188</xdr:row>
          <xdr:rowOff>0</xdr:rowOff>
        </xdr:from>
        <xdr:to>
          <xdr:col>9</xdr:col>
          <xdr:colOff>0</xdr:colOff>
          <xdr:row>189</xdr:row>
          <xdr:rowOff>0</xdr:rowOff>
        </xdr:to>
        <xdr:sp macro="" textlink="">
          <xdr:nvSpPr>
            <xdr:cNvPr id="226792" name="bpmDropDownFLU1677" hidden="1">
              <a:extLst>
                <a:ext uri="{63B3BB69-23CF-44E3-9099-C40C66FF867C}">
                  <a14:compatExt spid="_x0000_s226792"/>
                </a:ext>
                <a:ext uri="{FF2B5EF4-FFF2-40B4-BE49-F238E27FC236}">
                  <a16:creationId xmlns:a16="http://schemas.microsoft.com/office/drawing/2014/main" id="{00000000-0008-0000-1800-0000E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189</xdr:row>
          <xdr:rowOff>0</xdr:rowOff>
        </xdr:from>
        <xdr:to>
          <xdr:col>9</xdr:col>
          <xdr:colOff>0</xdr:colOff>
          <xdr:row>190</xdr:row>
          <xdr:rowOff>0</xdr:rowOff>
        </xdr:to>
        <xdr:sp macro="" textlink="">
          <xdr:nvSpPr>
            <xdr:cNvPr id="226793" name="bpmDropDownFLU1678" hidden="1">
              <a:extLst>
                <a:ext uri="{63B3BB69-23CF-44E3-9099-C40C66FF867C}">
                  <a14:compatExt spid="_x0000_s226793"/>
                </a:ext>
                <a:ext uri="{FF2B5EF4-FFF2-40B4-BE49-F238E27FC236}">
                  <a16:creationId xmlns:a16="http://schemas.microsoft.com/office/drawing/2014/main" id="{00000000-0008-0000-1800-0000E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9</xdr:col>
          <xdr:colOff>0</xdr:colOff>
          <xdr:row>191</xdr:row>
          <xdr:rowOff>0</xdr:rowOff>
        </xdr:to>
        <xdr:sp macro="" textlink="">
          <xdr:nvSpPr>
            <xdr:cNvPr id="226794" name="bpmDropDownFLU1679" hidden="1">
              <a:extLst>
                <a:ext uri="{63B3BB69-23CF-44E3-9099-C40C66FF867C}">
                  <a14:compatExt spid="_x0000_s226794"/>
                </a:ext>
                <a:ext uri="{FF2B5EF4-FFF2-40B4-BE49-F238E27FC236}">
                  <a16:creationId xmlns:a16="http://schemas.microsoft.com/office/drawing/2014/main" id="{00000000-0008-0000-1800-0000E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191</xdr:row>
          <xdr:rowOff>0</xdr:rowOff>
        </xdr:from>
        <xdr:to>
          <xdr:col>9</xdr:col>
          <xdr:colOff>0</xdr:colOff>
          <xdr:row>192</xdr:row>
          <xdr:rowOff>0</xdr:rowOff>
        </xdr:to>
        <xdr:sp macro="" textlink="">
          <xdr:nvSpPr>
            <xdr:cNvPr id="226795" name="bpmDropDownFLU1680" hidden="1">
              <a:extLst>
                <a:ext uri="{63B3BB69-23CF-44E3-9099-C40C66FF867C}">
                  <a14:compatExt spid="_x0000_s226795"/>
                </a:ext>
                <a:ext uri="{FF2B5EF4-FFF2-40B4-BE49-F238E27FC236}">
                  <a16:creationId xmlns:a16="http://schemas.microsoft.com/office/drawing/2014/main" id="{00000000-0008-0000-1800-0000E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192</xdr:row>
          <xdr:rowOff>0</xdr:rowOff>
        </xdr:from>
        <xdr:to>
          <xdr:col>9</xdr:col>
          <xdr:colOff>0</xdr:colOff>
          <xdr:row>193</xdr:row>
          <xdr:rowOff>0</xdr:rowOff>
        </xdr:to>
        <xdr:sp macro="" textlink="">
          <xdr:nvSpPr>
            <xdr:cNvPr id="226796" name="bpmDropDownFLU1681" hidden="1">
              <a:extLst>
                <a:ext uri="{63B3BB69-23CF-44E3-9099-C40C66FF867C}">
                  <a14:compatExt spid="_x0000_s226796"/>
                </a:ext>
                <a:ext uri="{FF2B5EF4-FFF2-40B4-BE49-F238E27FC236}">
                  <a16:creationId xmlns:a16="http://schemas.microsoft.com/office/drawing/2014/main" id="{00000000-0008-0000-1800-0000E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9</xdr:col>
          <xdr:colOff>0</xdr:colOff>
          <xdr:row>194</xdr:row>
          <xdr:rowOff>0</xdr:rowOff>
        </xdr:to>
        <xdr:sp macro="" textlink="">
          <xdr:nvSpPr>
            <xdr:cNvPr id="226797" name="bpmDropDownFLU1682" hidden="1">
              <a:extLst>
                <a:ext uri="{63B3BB69-23CF-44E3-9099-C40C66FF867C}">
                  <a14:compatExt spid="_x0000_s226797"/>
                </a:ext>
                <a:ext uri="{FF2B5EF4-FFF2-40B4-BE49-F238E27FC236}">
                  <a16:creationId xmlns:a16="http://schemas.microsoft.com/office/drawing/2014/main" id="{00000000-0008-0000-1800-0000E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194</xdr:row>
          <xdr:rowOff>0</xdr:rowOff>
        </xdr:from>
        <xdr:to>
          <xdr:col>9</xdr:col>
          <xdr:colOff>0</xdr:colOff>
          <xdr:row>195</xdr:row>
          <xdr:rowOff>0</xdr:rowOff>
        </xdr:to>
        <xdr:sp macro="" textlink="">
          <xdr:nvSpPr>
            <xdr:cNvPr id="226798" name="bpmDropDownFLU1683" hidden="1">
              <a:extLst>
                <a:ext uri="{63B3BB69-23CF-44E3-9099-C40C66FF867C}">
                  <a14:compatExt spid="_x0000_s226798"/>
                </a:ext>
                <a:ext uri="{FF2B5EF4-FFF2-40B4-BE49-F238E27FC236}">
                  <a16:creationId xmlns:a16="http://schemas.microsoft.com/office/drawing/2014/main" id="{00000000-0008-0000-1800-0000EE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195</xdr:row>
          <xdr:rowOff>0</xdr:rowOff>
        </xdr:from>
        <xdr:to>
          <xdr:col>9</xdr:col>
          <xdr:colOff>0</xdr:colOff>
          <xdr:row>196</xdr:row>
          <xdr:rowOff>0</xdr:rowOff>
        </xdr:to>
        <xdr:sp macro="" textlink="">
          <xdr:nvSpPr>
            <xdr:cNvPr id="226800" name="bpmDropDownFLU1685" hidden="1">
              <a:extLst>
                <a:ext uri="{63B3BB69-23CF-44E3-9099-C40C66FF867C}">
                  <a14:compatExt spid="_x0000_s226800"/>
                </a:ext>
                <a:ext uri="{FF2B5EF4-FFF2-40B4-BE49-F238E27FC236}">
                  <a16:creationId xmlns:a16="http://schemas.microsoft.com/office/drawing/2014/main" id="{00000000-0008-0000-1800-0000F0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9</xdr:col>
          <xdr:colOff>0</xdr:colOff>
          <xdr:row>197</xdr:row>
          <xdr:rowOff>0</xdr:rowOff>
        </xdr:to>
        <xdr:sp macro="" textlink="">
          <xdr:nvSpPr>
            <xdr:cNvPr id="226801" name="bpmDropDownFLU1686" hidden="1">
              <a:extLst>
                <a:ext uri="{63B3BB69-23CF-44E3-9099-C40C66FF867C}">
                  <a14:compatExt spid="_x0000_s226801"/>
                </a:ext>
                <a:ext uri="{FF2B5EF4-FFF2-40B4-BE49-F238E27FC236}">
                  <a16:creationId xmlns:a16="http://schemas.microsoft.com/office/drawing/2014/main" id="{00000000-0008-0000-1800-0000F1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197</xdr:row>
          <xdr:rowOff>0</xdr:rowOff>
        </xdr:from>
        <xdr:to>
          <xdr:col>9</xdr:col>
          <xdr:colOff>0</xdr:colOff>
          <xdr:row>198</xdr:row>
          <xdr:rowOff>0</xdr:rowOff>
        </xdr:to>
        <xdr:sp macro="" textlink="">
          <xdr:nvSpPr>
            <xdr:cNvPr id="226802" name="bpmDropDownFLU1687" hidden="1">
              <a:extLst>
                <a:ext uri="{63B3BB69-23CF-44E3-9099-C40C66FF867C}">
                  <a14:compatExt spid="_x0000_s226802"/>
                </a:ext>
                <a:ext uri="{FF2B5EF4-FFF2-40B4-BE49-F238E27FC236}">
                  <a16:creationId xmlns:a16="http://schemas.microsoft.com/office/drawing/2014/main" id="{00000000-0008-0000-1800-0000F2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198</xdr:row>
          <xdr:rowOff>0</xdr:rowOff>
        </xdr:from>
        <xdr:to>
          <xdr:col>9</xdr:col>
          <xdr:colOff>0</xdr:colOff>
          <xdr:row>199</xdr:row>
          <xdr:rowOff>0</xdr:rowOff>
        </xdr:to>
        <xdr:sp macro="" textlink="">
          <xdr:nvSpPr>
            <xdr:cNvPr id="226803" name="bpmDropDownFLU1688" hidden="1">
              <a:extLst>
                <a:ext uri="{63B3BB69-23CF-44E3-9099-C40C66FF867C}">
                  <a14:compatExt spid="_x0000_s226803"/>
                </a:ext>
                <a:ext uri="{FF2B5EF4-FFF2-40B4-BE49-F238E27FC236}">
                  <a16:creationId xmlns:a16="http://schemas.microsoft.com/office/drawing/2014/main" id="{00000000-0008-0000-1800-0000F3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9</xdr:col>
          <xdr:colOff>0</xdr:colOff>
          <xdr:row>200</xdr:row>
          <xdr:rowOff>0</xdr:rowOff>
        </xdr:to>
        <xdr:sp macro="" textlink="">
          <xdr:nvSpPr>
            <xdr:cNvPr id="226804" name="bpmDropDownFLU1689" hidden="1">
              <a:extLst>
                <a:ext uri="{63B3BB69-23CF-44E3-9099-C40C66FF867C}">
                  <a14:compatExt spid="_x0000_s226804"/>
                </a:ext>
                <a:ext uri="{FF2B5EF4-FFF2-40B4-BE49-F238E27FC236}">
                  <a16:creationId xmlns:a16="http://schemas.microsoft.com/office/drawing/2014/main" id="{00000000-0008-0000-1800-0000F4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200</xdr:row>
          <xdr:rowOff>0</xdr:rowOff>
        </xdr:from>
        <xdr:to>
          <xdr:col>9</xdr:col>
          <xdr:colOff>0</xdr:colOff>
          <xdr:row>201</xdr:row>
          <xdr:rowOff>0</xdr:rowOff>
        </xdr:to>
        <xdr:sp macro="" textlink="">
          <xdr:nvSpPr>
            <xdr:cNvPr id="226805" name="bpmDropDownFLU1690" hidden="1">
              <a:extLst>
                <a:ext uri="{63B3BB69-23CF-44E3-9099-C40C66FF867C}">
                  <a14:compatExt spid="_x0000_s226805"/>
                </a:ext>
                <a:ext uri="{FF2B5EF4-FFF2-40B4-BE49-F238E27FC236}">
                  <a16:creationId xmlns:a16="http://schemas.microsoft.com/office/drawing/2014/main" id="{00000000-0008-0000-1800-0000F5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7</xdr:col>
          <xdr:colOff>0</xdr:colOff>
          <xdr:row>207</xdr:row>
          <xdr:rowOff>0</xdr:rowOff>
        </xdr:to>
        <xdr:sp macro="" textlink="">
          <xdr:nvSpPr>
            <xdr:cNvPr id="226806" name="bpmDropDownFLU1691" hidden="1">
              <a:extLst>
                <a:ext uri="{63B3BB69-23CF-44E3-9099-C40C66FF867C}">
                  <a14:compatExt spid="_x0000_s226806"/>
                </a:ext>
                <a:ext uri="{FF2B5EF4-FFF2-40B4-BE49-F238E27FC236}">
                  <a16:creationId xmlns:a16="http://schemas.microsoft.com/office/drawing/2014/main" id="{00000000-0008-0000-1800-0000F6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207</xdr:row>
          <xdr:rowOff>0</xdr:rowOff>
        </xdr:from>
        <xdr:to>
          <xdr:col>7</xdr:col>
          <xdr:colOff>0</xdr:colOff>
          <xdr:row>208</xdr:row>
          <xdr:rowOff>0</xdr:rowOff>
        </xdr:to>
        <xdr:sp macro="" textlink="">
          <xdr:nvSpPr>
            <xdr:cNvPr id="226807" name="bpmDropDownFLU1692" hidden="1">
              <a:extLst>
                <a:ext uri="{63B3BB69-23CF-44E3-9099-C40C66FF867C}">
                  <a14:compatExt spid="_x0000_s226807"/>
                </a:ext>
                <a:ext uri="{FF2B5EF4-FFF2-40B4-BE49-F238E27FC236}">
                  <a16:creationId xmlns:a16="http://schemas.microsoft.com/office/drawing/2014/main" id="{00000000-0008-0000-1800-0000F7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7</xdr:col>
          <xdr:colOff>0</xdr:colOff>
          <xdr:row>209</xdr:row>
          <xdr:rowOff>0</xdr:rowOff>
        </xdr:to>
        <xdr:sp macro="" textlink="">
          <xdr:nvSpPr>
            <xdr:cNvPr id="226808" name="bpmDropDownFLU1693" hidden="1">
              <a:extLst>
                <a:ext uri="{63B3BB69-23CF-44E3-9099-C40C66FF867C}">
                  <a14:compatExt spid="_x0000_s226808"/>
                </a:ext>
                <a:ext uri="{FF2B5EF4-FFF2-40B4-BE49-F238E27FC236}">
                  <a16:creationId xmlns:a16="http://schemas.microsoft.com/office/drawing/2014/main" id="{00000000-0008-0000-1800-0000F8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0</xdr:rowOff>
        </xdr:from>
        <xdr:to>
          <xdr:col>7</xdr:col>
          <xdr:colOff>0</xdr:colOff>
          <xdr:row>210</xdr:row>
          <xdr:rowOff>0</xdr:rowOff>
        </xdr:to>
        <xdr:sp macro="" textlink="">
          <xdr:nvSpPr>
            <xdr:cNvPr id="226809" name="bpmDropDownFLU1694" hidden="1">
              <a:extLst>
                <a:ext uri="{63B3BB69-23CF-44E3-9099-C40C66FF867C}">
                  <a14:compatExt spid="_x0000_s226809"/>
                </a:ext>
                <a:ext uri="{FF2B5EF4-FFF2-40B4-BE49-F238E27FC236}">
                  <a16:creationId xmlns:a16="http://schemas.microsoft.com/office/drawing/2014/main" id="{00000000-0008-0000-1800-0000F9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7</xdr:col>
          <xdr:colOff>0</xdr:colOff>
          <xdr:row>211</xdr:row>
          <xdr:rowOff>0</xdr:rowOff>
        </xdr:to>
        <xdr:sp macro="" textlink="">
          <xdr:nvSpPr>
            <xdr:cNvPr id="226810" name="bpmDropDownFLU1695" hidden="1">
              <a:extLst>
                <a:ext uri="{63B3BB69-23CF-44E3-9099-C40C66FF867C}">
                  <a14:compatExt spid="_x0000_s226810"/>
                </a:ext>
                <a:ext uri="{FF2B5EF4-FFF2-40B4-BE49-F238E27FC236}">
                  <a16:creationId xmlns:a16="http://schemas.microsoft.com/office/drawing/2014/main" id="{00000000-0008-0000-1800-0000FA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7</xdr:col>
          <xdr:colOff>0</xdr:colOff>
          <xdr:row>212</xdr:row>
          <xdr:rowOff>0</xdr:rowOff>
        </xdr:to>
        <xdr:sp macro="" textlink="">
          <xdr:nvSpPr>
            <xdr:cNvPr id="226811" name="bpmDropDownFLU1696" hidden="1">
              <a:extLst>
                <a:ext uri="{63B3BB69-23CF-44E3-9099-C40C66FF867C}">
                  <a14:compatExt spid="_x0000_s226811"/>
                </a:ext>
                <a:ext uri="{FF2B5EF4-FFF2-40B4-BE49-F238E27FC236}">
                  <a16:creationId xmlns:a16="http://schemas.microsoft.com/office/drawing/2014/main" id="{00000000-0008-0000-1800-0000FB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0</xdr:rowOff>
        </xdr:from>
        <xdr:to>
          <xdr:col>7</xdr:col>
          <xdr:colOff>0</xdr:colOff>
          <xdr:row>213</xdr:row>
          <xdr:rowOff>0</xdr:rowOff>
        </xdr:to>
        <xdr:sp macro="" textlink="">
          <xdr:nvSpPr>
            <xdr:cNvPr id="226812" name="bpmDropDownFLU1697" hidden="1">
              <a:extLst>
                <a:ext uri="{63B3BB69-23CF-44E3-9099-C40C66FF867C}">
                  <a14:compatExt spid="_x0000_s226812"/>
                </a:ext>
                <a:ext uri="{FF2B5EF4-FFF2-40B4-BE49-F238E27FC236}">
                  <a16:creationId xmlns:a16="http://schemas.microsoft.com/office/drawing/2014/main" id="{00000000-0008-0000-1800-0000FC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213</xdr:row>
          <xdr:rowOff>0</xdr:rowOff>
        </xdr:from>
        <xdr:to>
          <xdr:col>7</xdr:col>
          <xdr:colOff>0</xdr:colOff>
          <xdr:row>214</xdr:row>
          <xdr:rowOff>0</xdr:rowOff>
        </xdr:to>
        <xdr:sp macro="" textlink="">
          <xdr:nvSpPr>
            <xdr:cNvPr id="226813" name="bpmDropDownFLU1698" hidden="1">
              <a:extLst>
                <a:ext uri="{63B3BB69-23CF-44E3-9099-C40C66FF867C}">
                  <a14:compatExt spid="_x0000_s226813"/>
                </a:ext>
                <a:ext uri="{FF2B5EF4-FFF2-40B4-BE49-F238E27FC236}">
                  <a16:creationId xmlns:a16="http://schemas.microsoft.com/office/drawing/2014/main" id="{00000000-0008-0000-1800-0000FD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7</xdr:col>
          <xdr:colOff>0</xdr:colOff>
          <xdr:row>215</xdr:row>
          <xdr:rowOff>0</xdr:rowOff>
        </xdr:to>
        <xdr:sp macro="" textlink="">
          <xdr:nvSpPr>
            <xdr:cNvPr id="226815" name="bpmDropDownFLU1700" hidden="1">
              <a:extLst>
                <a:ext uri="{63B3BB69-23CF-44E3-9099-C40C66FF867C}">
                  <a14:compatExt spid="_x0000_s226815"/>
                </a:ext>
                <a:ext uri="{FF2B5EF4-FFF2-40B4-BE49-F238E27FC236}">
                  <a16:creationId xmlns:a16="http://schemas.microsoft.com/office/drawing/2014/main" id="{00000000-0008-0000-1800-0000FF75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7</xdr:col>
          <xdr:colOff>0</xdr:colOff>
          <xdr:row>216</xdr:row>
          <xdr:rowOff>0</xdr:rowOff>
        </xdr:to>
        <xdr:sp macro="" textlink="">
          <xdr:nvSpPr>
            <xdr:cNvPr id="226816" name="bpmDropDownFLU1701" hidden="1">
              <a:extLst>
                <a:ext uri="{63B3BB69-23CF-44E3-9099-C40C66FF867C}">
                  <a14:compatExt spid="_x0000_s226816"/>
                </a:ext>
                <a:ext uri="{FF2B5EF4-FFF2-40B4-BE49-F238E27FC236}">
                  <a16:creationId xmlns:a16="http://schemas.microsoft.com/office/drawing/2014/main" id="{00000000-0008-0000-1800-000000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7</xdr:col>
          <xdr:colOff>0</xdr:colOff>
          <xdr:row>217</xdr:row>
          <xdr:rowOff>0</xdr:rowOff>
        </xdr:to>
        <xdr:sp macro="" textlink="">
          <xdr:nvSpPr>
            <xdr:cNvPr id="226817" name="bpmDropDownFLU1702" hidden="1">
              <a:extLst>
                <a:ext uri="{63B3BB69-23CF-44E3-9099-C40C66FF867C}">
                  <a14:compatExt spid="_x0000_s226817"/>
                </a:ext>
                <a:ext uri="{FF2B5EF4-FFF2-40B4-BE49-F238E27FC236}">
                  <a16:creationId xmlns:a16="http://schemas.microsoft.com/office/drawing/2014/main" id="{00000000-0008-0000-1800-000001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7</xdr:col>
          <xdr:colOff>0</xdr:colOff>
          <xdr:row>218</xdr:row>
          <xdr:rowOff>0</xdr:rowOff>
        </xdr:to>
        <xdr:sp macro="" textlink="">
          <xdr:nvSpPr>
            <xdr:cNvPr id="226818" name="bpmDropDownFLU1703" hidden="1">
              <a:extLst>
                <a:ext uri="{63B3BB69-23CF-44E3-9099-C40C66FF867C}">
                  <a14:compatExt spid="_x0000_s226818"/>
                </a:ext>
                <a:ext uri="{FF2B5EF4-FFF2-40B4-BE49-F238E27FC236}">
                  <a16:creationId xmlns:a16="http://schemas.microsoft.com/office/drawing/2014/main" id="{00000000-0008-0000-1800-000002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218</xdr:row>
          <xdr:rowOff>0</xdr:rowOff>
        </xdr:from>
        <xdr:to>
          <xdr:col>7</xdr:col>
          <xdr:colOff>0</xdr:colOff>
          <xdr:row>219</xdr:row>
          <xdr:rowOff>0</xdr:rowOff>
        </xdr:to>
        <xdr:sp macro="" textlink="">
          <xdr:nvSpPr>
            <xdr:cNvPr id="226819" name="bpmDropDownFLU1704" hidden="1">
              <a:extLst>
                <a:ext uri="{63B3BB69-23CF-44E3-9099-C40C66FF867C}">
                  <a14:compatExt spid="_x0000_s226819"/>
                </a:ext>
                <a:ext uri="{FF2B5EF4-FFF2-40B4-BE49-F238E27FC236}">
                  <a16:creationId xmlns:a16="http://schemas.microsoft.com/office/drawing/2014/main" id="{00000000-0008-0000-1800-000003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7</xdr:col>
          <xdr:colOff>0</xdr:colOff>
          <xdr:row>220</xdr:row>
          <xdr:rowOff>0</xdr:rowOff>
        </xdr:to>
        <xdr:sp macro="" textlink="">
          <xdr:nvSpPr>
            <xdr:cNvPr id="226820" name="bpmDropDownFLU1705" hidden="1">
              <a:extLst>
                <a:ext uri="{63B3BB69-23CF-44E3-9099-C40C66FF867C}">
                  <a14:compatExt spid="_x0000_s226820"/>
                </a:ext>
                <a:ext uri="{FF2B5EF4-FFF2-40B4-BE49-F238E27FC236}">
                  <a16:creationId xmlns:a16="http://schemas.microsoft.com/office/drawing/2014/main" id="{00000000-0008-0000-1800-000004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7</xdr:col>
          <xdr:colOff>0</xdr:colOff>
          <xdr:row>245</xdr:row>
          <xdr:rowOff>0</xdr:rowOff>
        </xdr:to>
        <xdr:sp macro="" textlink="">
          <xdr:nvSpPr>
            <xdr:cNvPr id="226821" name="bpmDropDownFLU1706" hidden="1">
              <a:extLst>
                <a:ext uri="{63B3BB69-23CF-44E3-9099-C40C66FF867C}">
                  <a14:compatExt spid="_x0000_s226821"/>
                </a:ext>
                <a:ext uri="{FF2B5EF4-FFF2-40B4-BE49-F238E27FC236}">
                  <a16:creationId xmlns:a16="http://schemas.microsoft.com/office/drawing/2014/main" id="{00000000-0008-0000-1800-000005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245</xdr:row>
          <xdr:rowOff>0</xdr:rowOff>
        </xdr:from>
        <xdr:to>
          <xdr:col>7</xdr:col>
          <xdr:colOff>0</xdr:colOff>
          <xdr:row>246</xdr:row>
          <xdr:rowOff>0</xdr:rowOff>
        </xdr:to>
        <xdr:sp macro="" textlink="">
          <xdr:nvSpPr>
            <xdr:cNvPr id="226822" name="bpmDropDownFLU1707" hidden="1">
              <a:extLst>
                <a:ext uri="{63B3BB69-23CF-44E3-9099-C40C66FF867C}">
                  <a14:compatExt spid="_x0000_s226822"/>
                </a:ext>
                <a:ext uri="{FF2B5EF4-FFF2-40B4-BE49-F238E27FC236}">
                  <a16:creationId xmlns:a16="http://schemas.microsoft.com/office/drawing/2014/main" id="{00000000-0008-0000-1800-000006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xdr:row>
          <xdr:rowOff>0</xdr:rowOff>
        </xdr:from>
        <xdr:to>
          <xdr:col>7</xdr:col>
          <xdr:colOff>0</xdr:colOff>
          <xdr:row>247</xdr:row>
          <xdr:rowOff>0</xdr:rowOff>
        </xdr:to>
        <xdr:sp macro="" textlink="">
          <xdr:nvSpPr>
            <xdr:cNvPr id="226823" name="bpmDropDownFLU1708" hidden="1">
              <a:extLst>
                <a:ext uri="{63B3BB69-23CF-44E3-9099-C40C66FF867C}">
                  <a14:compatExt spid="_x0000_s226823"/>
                </a:ext>
                <a:ext uri="{FF2B5EF4-FFF2-40B4-BE49-F238E27FC236}">
                  <a16:creationId xmlns:a16="http://schemas.microsoft.com/office/drawing/2014/main" id="{00000000-0008-0000-1800-000007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7</xdr:col>
          <xdr:colOff>0</xdr:colOff>
          <xdr:row>248</xdr:row>
          <xdr:rowOff>0</xdr:rowOff>
        </xdr:to>
        <xdr:sp macro="" textlink="">
          <xdr:nvSpPr>
            <xdr:cNvPr id="226824" name="bpmDropDownFLU1709" hidden="1">
              <a:extLst>
                <a:ext uri="{63B3BB69-23CF-44E3-9099-C40C66FF867C}">
                  <a14:compatExt spid="_x0000_s226824"/>
                </a:ext>
                <a:ext uri="{FF2B5EF4-FFF2-40B4-BE49-F238E27FC236}">
                  <a16:creationId xmlns:a16="http://schemas.microsoft.com/office/drawing/2014/main" id="{00000000-0008-0000-1800-000008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248</xdr:row>
          <xdr:rowOff>0</xdr:rowOff>
        </xdr:from>
        <xdr:to>
          <xdr:col>7</xdr:col>
          <xdr:colOff>0</xdr:colOff>
          <xdr:row>249</xdr:row>
          <xdr:rowOff>0</xdr:rowOff>
        </xdr:to>
        <xdr:sp macro="" textlink="">
          <xdr:nvSpPr>
            <xdr:cNvPr id="226825" name="bpmDropDownFLU1710" hidden="1">
              <a:extLst>
                <a:ext uri="{63B3BB69-23CF-44E3-9099-C40C66FF867C}">
                  <a14:compatExt spid="_x0000_s226825"/>
                </a:ext>
                <a:ext uri="{FF2B5EF4-FFF2-40B4-BE49-F238E27FC236}">
                  <a16:creationId xmlns:a16="http://schemas.microsoft.com/office/drawing/2014/main" id="{00000000-0008-0000-1800-000009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249</xdr:row>
          <xdr:rowOff>0</xdr:rowOff>
        </xdr:from>
        <xdr:to>
          <xdr:col>7</xdr:col>
          <xdr:colOff>0</xdr:colOff>
          <xdr:row>250</xdr:row>
          <xdr:rowOff>0</xdr:rowOff>
        </xdr:to>
        <xdr:sp macro="" textlink="">
          <xdr:nvSpPr>
            <xdr:cNvPr id="226826" name="bpmDropDownFLU1711" hidden="1">
              <a:extLst>
                <a:ext uri="{63B3BB69-23CF-44E3-9099-C40C66FF867C}">
                  <a14:compatExt spid="_x0000_s226826"/>
                </a:ext>
                <a:ext uri="{FF2B5EF4-FFF2-40B4-BE49-F238E27FC236}">
                  <a16:creationId xmlns:a16="http://schemas.microsoft.com/office/drawing/2014/main" id="{00000000-0008-0000-1800-00000A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7</xdr:col>
          <xdr:colOff>0</xdr:colOff>
          <xdr:row>251</xdr:row>
          <xdr:rowOff>0</xdr:rowOff>
        </xdr:to>
        <xdr:sp macro="" textlink="">
          <xdr:nvSpPr>
            <xdr:cNvPr id="226827" name="bpmDropDownFLU1712" hidden="1">
              <a:extLst>
                <a:ext uri="{63B3BB69-23CF-44E3-9099-C40C66FF867C}">
                  <a14:compatExt spid="_x0000_s226827"/>
                </a:ext>
                <a:ext uri="{FF2B5EF4-FFF2-40B4-BE49-F238E27FC236}">
                  <a16:creationId xmlns:a16="http://schemas.microsoft.com/office/drawing/2014/main" id="{00000000-0008-0000-1800-00000B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251</xdr:row>
          <xdr:rowOff>0</xdr:rowOff>
        </xdr:from>
        <xdr:to>
          <xdr:col>7</xdr:col>
          <xdr:colOff>0</xdr:colOff>
          <xdr:row>252</xdr:row>
          <xdr:rowOff>0</xdr:rowOff>
        </xdr:to>
        <xdr:sp macro="" textlink="">
          <xdr:nvSpPr>
            <xdr:cNvPr id="226828" name="bpmDropDownFLU1713" hidden="1">
              <a:extLst>
                <a:ext uri="{63B3BB69-23CF-44E3-9099-C40C66FF867C}">
                  <a14:compatExt spid="_x0000_s226828"/>
                </a:ext>
                <a:ext uri="{FF2B5EF4-FFF2-40B4-BE49-F238E27FC236}">
                  <a16:creationId xmlns:a16="http://schemas.microsoft.com/office/drawing/2014/main" id="{00000000-0008-0000-1800-00000C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252</xdr:row>
          <xdr:rowOff>0</xdr:rowOff>
        </xdr:from>
        <xdr:to>
          <xdr:col>7</xdr:col>
          <xdr:colOff>0</xdr:colOff>
          <xdr:row>253</xdr:row>
          <xdr:rowOff>0</xdr:rowOff>
        </xdr:to>
        <xdr:sp macro="" textlink="">
          <xdr:nvSpPr>
            <xdr:cNvPr id="226830" name="bpmDropDownFLU1715" hidden="1">
              <a:extLst>
                <a:ext uri="{63B3BB69-23CF-44E3-9099-C40C66FF867C}">
                  <a14:compatExt spid="_x0000_s226830"/>
                </a:ext>
                <a:ext uri="{FF2B5EF4-FFF2-40B4-BE49-F238E27FC236}">
                  <a16:creationId xmlns:a16="http://schemas.microsoft.com/office/drawing/2014/main" id="{00000000-0008-0000-1800-00000E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7</xdr:col>
          <xdr:colOff>0</xdr:colOff>
          <xdr:row>254</xdr:row>
          <xdr:rowOff>0</xdr:rowOff>
        </xdr:to>
        <xdr:sp macro="" textlink="">
          <xdr:nvSpPr>
            <xdr:cNvPr id="226831" name="bpmDropDownFLU1716" hidden="1">
              <a:extLst>
                <a:ext uri="{63B3BB69-23CF-44E3-9099-C40C66FF867C}">
                  <a14:compatExt spid="_x0000_s226831"/>
                </a:ext>
                <a:ext uri="{FF2B5EF4-FFF2-40B4-BE49-F238E27FC236}">
                  <a16:creationId xmlns:a16="http://schemas.microsoft.com/office/drawing/2014/main" id="{00000000-0008-0000-1800-00000F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254</xdr:row>
          <xdr:rowOff>0</xdr:rowOff>
        </xdr:from>
        <xdr:to>
          <xdr:col>7</xdr:col>
          <xdr:colOff>0</xdr:colOff>
          <xdr:row>255</xdr:row>
          <xdr:rowOff>0</xdr:rowOff>
        </xdr:to>
        <xdr:sp macro="" textlink="">
          <xdr:nvSpPr>
            <xdr:cNvPr id="226832" name="bpmDropDownFLU1717" hidden="1">
              <a:extLst>
                <a:ext uri="{63B3BB69-23CF-44E3-9099-C40C66FF867C}">
                  <a14:compatExt spid="_x0000_s226832"/>
                </a:ext>
                <a:ext uri="{FF2B5EF4-FFF2-40B4-BE49-F238E27FC236}">
                  <a16:creationId xmlns:a16="http://schemas.microsoft.com/office/drawing/2014/main" id="{00000000-0008-0000-1800-000010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255</xdr:row>
          <xdr:rowOff>0</xdr:rowOff>
        </xdr:from>
        <xdr:to>
          <xdr:col>7</xdr:col>
          <xdr:colOff>0</xdr:colOff>
          <xdr:row>256</xdr:row>
          <xdr:rowOff>0</xdr:rowOff>
        </xdr:to>
        <xdr:sp macro="" textlink="">
          <xdr:nvSpPr>
            <xdr:cNvPr id="226833" name="bpmDropDownFLU1718" hidden="1">
              <a:extLst>
                <a:ext uri="{63B3BB69-23CF-44E3-9099-C40C66FF867C}">
                  <a14:compatExt spid="_x0000_s226833"/>
                </a:ext>
                <a:ext uri="{FF2B5EF4-FFF2-40B4-BE49-F238E27FC236}">
                  <a16:creationId xmlns:a16="http://schemas.microsoft.com/office/drawing/2014/main" id="{00000000-0008-0000-1800-000011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7</xdr:col>
          <xdr:colOff>0</xdr:colOff>
          <xdr:row>257</xdr:row>
          <xdr:rowOff>0</xdr:rowOff>
        </xdr:to>
        <xdr:sp macro="" textlink="">
          <xdr:nvSpPr>
            <xdr:cNvPr id="226834" name="bpmDropDownFLU1719" hidden="1">
              <a:extLst>
                <a:ext uri="{63B3BB69-23CF-44E3-9099-C40C66FF867C}">
                  <a14:compatExt spid="_x0000_s226834"/>
                </a:ext>
                <a:ext uri="{FF2B5EF4-FFF2-40B4-BE49-F238E27FC236}">
                  <a16:creationId xmlns:a16="http://schemas.microsoft.com/office/drawing/2014/main" id="{00000000-0008-0000-1800-000012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257</xdr:row>
          <xdr:rowOff>0</xdr:rowOff>
        </xdr:from>
        <xdr:to>
          <xdr:col>7</xdr:col>
          <xdr:colOff>0</xdr:colOff>
          <xdr:row>258</xdr:row>
          <xdr:rowOff>0</xdr:rowOff>
        </xdr:to>
        <xdr:sp macro="" textlink="">
          <xdr:nvSpPr>
            <xdr:cNvPr id="226835" name="bpmDropDownFLU1720" hidden="1">
              <a:extLst>
                <a:ext uri="{63B3BB69-23CF-44E3-9099-C40C66FF867C}">
                  <a14:compatExt spid="_x0000_s226835"/>
                </a:ext>
                <a:ext uri="{FF2B5EF4-FFF2-40B4-BE49-F238E27FC236}">
                  <a16:creationId xmlns:a16="http://schemas.microsoft.com/office/drawing/2014/main" id="{00000000-0008-0000-1800-000013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225</xdr:row>
          <xdr:rowOff>0</xdr:rowOff>
        </xdr:from>
        <xdr:to>
          <xdr:col>7</xdr:col>
          <xdr:colOff>0</xdr:colOff>
          <xdr:row>226</xdr:row>
          <xdr:rowOff>0</xdr:rowOff>
        </xdr:to>
        <xdr:sp macro="" textlink="">
          <xdr:nvSpPr>
            <xdr:cNvPr id="226836" name="bpmDropDownFLU1721" hidden="1">
              <a:extLst>
                <a:ext uri="{63B3BB69-23CF-44E3-9099-C40C66FF867C}">
                  <a14:compatExt spid="_x0000_s226836"/>
                </a:ext>
                <a:ext uri="{FF2B5EF4-FFF2-40B4-BE49-F238E27FC236}">
                  <a16:creationId xmlns:a16="http://schemas.microsoft.com/office/drawing/2014/main" id="{00000000-0008-0000-1800-000014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7</xdr:col>
          <xdr:colOff>0</xdr:colOff>
          <xdr:row>227</xdr:row>
          <xdr:rowOff>0</xdr:rowOff>
        </xdr:to>
        <xdr:sp macro="" textlink="">
          <xdr:nvSpPr>
            <xdr:cNvPr id="226837" name="bpmDropDownFLU1722" hidden="1">
              <a:extLst>
                <a:ext uri="{63B3BB69-23CF-44E3-9099-C40C66FF867C}">
                  <a14:compatExt spid="_x0000_s226837"/>
                </a:ext>
                <a:ext uri="{FF2B5EF4-FFF2-40B4-BE49-F238E27FC236}">
                  <a16:creationId xmlns:a16="http://schemas.microsoft.com/office/drawing/2014/main" id="{00000000-0008-0000-1800-000015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227</xdr:row>
          <xdr:rowOff>0</xdr:rowOff>
        </xdr:from>
        <xdr:to>
          <xdr:col>7</xdr:col>
          <xdr:colOff>0</xdr:colOff>
          <xdr:row>228</xdr:row>
          <xdr:rowOff>0</xdr:rowOff>
        </xdr:to>
        <xdr:sp macro="" textlink="">
          <xdr:nvSpPr>
            <xdr:cNvPr id="226838" name="bpmDropDownFLU1723" hidden="1">
              <a:extLst>
                <a:ext uri="{63B3BB69-23CF-44E3-9099-C40C66FF867C}">
                  <a14:compatExt spid="_x0000_s226838"/>
                </a:ext>
                <a:ext uri="{FF2B5EF4-FFF2-40B4-BE49-F238E27FC236}">
                  <a16:creationId xmlns:a16="http://schemas.microsoft.com/office/drawing/2014/main" id="{00000000-0008-0000-1800-000016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228</xdr:row>
          <xdr:rowOff>0</xdr:rowOff>
        </xdr:from>
        <xdr:to>
          <xdr:col>7</xdr:col>
          <xdr:colOff>0</xdr:colOff>
          <xdr:row>229</xdr:row>
          <xdr:rowOff>0</xdr:rowOff>
        </xdr:to>
        <xdr:sp macro="" textlink="">
          <xdr:nvSpPr>
            <xdr:cNvPr id="226839" name="bpmDropDownFLU1724" hidden="1">
              <a:extLst>
                <a:ext uri="{63B3BB69-23CF-44E3-9099-C40C66FF867C}">
                  <a14:compatExt spid="_x0000_s226839"/>
                </a:ext>
                <a:ext uri="{FF2B5EF4-FFF2-40B4-BE49-F238E27FC236}">
                  <a16:creationId xmlns:a16="http://schemas.microsoft.com/office/drawing/2014/main" id="{00000000-0008-0000-1800-000017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7</xdr:col>
          <xdr:colOff>0</xdr:colOff>
          <xdr:row>230</xdr:row>
          <xdr:rowOff>0</xdr:rowOff>
        </xdr:to>
        <xdr:sp macro="" textlink="">
          <xdr:nvSpPr>
            <xdr:cNvPr id="226840" name="bpmDropDownFLU1725" hidden="1">
              <a:extLst>
                <a:ext uri="{63B3BB69-23CF-44E3-9099-C40C66FF867C}">
                  <a14:compatExt spid="_x0000_s226840"/>
                </a:ext>
                <a:ext uri="{FF2B5EF4-FFF2-40B4-BE49-F238E27FC236}">
                  <a16:creationId xmlns:a16="http://schemas.microsoft.com/office/drawing/2014/main" id="{00000000-0008-0000-1800-000018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230</xdr:row>
          <xdr:rowOff>0</xdr:rowOff>
        </xdr:from>
        <xdr:to>
          <xdr:col>7</xdr:col>
          <xdr:colOff>0</xdr:colOff>
          <xdr:row>231</xdr:row>
          <xdr:rowOff>0</xdr:rowOff>
        </xdr:to>
        <xdr:sp macro="" textlink="">
          <xdr:nvSpPr>
            <xdr:cNvPr id="226841" name="bpmDropDownFLU1726" hidden="1">
              <a:extLst>
                <a:ext uri="{63B3BB69-23CF-44E3-9099-C40C66FF867C}">
                  <a14:compatExt spid="_x0000_s226841"/>
                </a:ext>
                <a:ext uri="{FF2B5EF4-FFF2-40B4-BE49-F238E27FC236}">
                  <a16:creationId xmlns:a16="http://schemas.microsoft.com/office/drawing/2014/main" id="{00000000-0008-0000-1800-000019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231</xdr:row>
          <xdr:rowOff>0</xdr:rowOff>
        </xdr:from>
        <xdr:to>
          <xdr:col>7</xdr:col>
          <xdr:colOff>0</xdr:colOff>
          <xdr:row>232</xdr:row>
          <xdr:rowOff>0</xdr:rowOff>
        </xdr:to>
        <xdr:sp macro="" textlink="">
          <xdr:nvSpPr>
            <xdr:cNvPr id="226842" name="bpmDropDownFLU1727" hidden="1">
              <a:extLst>
                <a:ext uri="{63B3BB69-23CF-44E3-9099-C40C66FF867C}">
                  <a14:compatExt spid="_x0000_s226842"/>
                </a:ext>
                <a:ext uri="{FF2B5EF4-FFF2-40B4-BE49-F238E27FC236}">
                  <a16:creationId xmlns:a16="http://schemas.microsoft.com/office/drawing/2014/main" id="{00000000-0008-0000-1800-00001A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7</xdr:col>
          <xdr:colOff>0</xdr:colOff>
          <xdr:row>233</xdr:row>
          <xdr:rowOff>0</xdr:rowOff>
        </xdr:to>
        <xdr:sp macro="" textlink="">
          <xdr:nvSpPr>
            <xdr:cNvPr id="226843" name="bpmDropDownFLU1728" hidden="1">
              <a:extLst>
                <a:ext uri="{63B3BB69-23CF-44E3-9099-C40C66FF867C}">
                  <a14:compatExt spid="_x0000_s226843"/>
                </a:ext>
                <a:ext uri="{FF2B5EF4-FFF2-40B4-BE49-F238E27FC236}">
                  <a16:creationId xmlns:a16="http://schemas.microsoft.com/office/drawing/2014/main" id="{00000000-0008-0000-1800-00001B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233</xdr:row>
          <xdr:rowOff>0</xdr:rowOff>
        </xdr:from>
        <xdr:to>
          <xdr:col>7</xdr:col>
          <xdr:colOff>0</xdr:colOff>
          <xdr:row>234</xdr:row>
          <xdr:rowOff>0</xdr:rowOff>
        </xdr:to>
        <xdr:sp macro="" textlink="">
          <xdr:nvSpPr>
            <xdr:cNvPr id="226845" name="bpmDropDownFLU1730" hidden="1">
              <a:extLst>
                <a:ext uri="{63B3BB69-23CF-44E3-9099-C40C66FF867C}">
                  <a14:compatExt spid="_x0000_s226845"/>
                </a:ext>
                <a:ext uri="{FF2B5EF4-FFF2-40B4-BE49-F238E27FC236}">
                  <a16:creationId xmlns:a16="http://schemas.microsoft.com/office/drawing/2014/main" id="{00000000-0008-0000-1800-00001D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234</xdr:row>
          <xdr:rowOff>0</xdr:rowOff>
        </xdr:from>
        <xdr:to>
          <xdr:col>7</xdr:col>
          <xdr:colOff>0</xdr:colOff>
          <xdr:row>235</xdr:row>
          <xdr:rowOff>0</xdr:rowOff>
        </xdr:to>
        <xdr:sp macro="" textlink="">
          <xdr:nvSpPr>
            <xdr:cNvPr id="226846" name="bpmDropDownFLU1731" hidden="1">
              <a:extLst>
                <a:ext uri="{63B3BB69-23CF-44E3-9099-C40C66FF867C}">
                  <a14:compatExt spid="_x0000_s226846"/>
                </a:ext>
                <a:ext uri="{FF2B5EF4-FFF2-40B4-BE49-F238E27FC236}">
                  <a16:creationId xmlns:a16="http://schemas.microsoft.com/office/drawing/2014/main" id="{00000000-0008-0000-1800-00001E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7</xdr:col>
          <xdr:colOff>0</xdr:colOff>
          <xdr:row>236</xdr:row>
          <xdr:rowOff>0</xdr:rowOff>
        </xdr:to>
        <xdr:sp macro="" textlink="">
          <xdr:nvSpPr>
            <xdr:cNvPr id="226847" name="bpmDropDownFLU1732" hidden="1">
              <a:extLst>
                <a:ext uri="{63B3BB69-23CF-44E3-9099-C40C66FF867C}">
                  <a14:compatExt spid="_x0000_s226847"/>
                </a:ext>
                <a:ext uri="{FF2B5EF4-FFF2-40B4-BE49-F238E27FC236}">
                  <a16:creationId xmlns:a16="http://schemas.microsoft.com/office/drawing/2014/main" id="{00000000-0008-0000-1800-00001F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0</xdr:rowOff>
        </xdr:from>
        <xdr:to>
          <xdr:col>7</xdr:col>
          <xdr:colOff>0</xdr:colOff>
          <xdr:row>237</xdr:row>
          <xdr:rowOff>0</xdr:rowOff>
        </xdr:to>
        <xdr:sp macro="" textlink="">
          <xdr:nvSpPr>
            <xdr:cNvPr id="226848" name="bpmDropDownFLU1733" hidden="1">
              <a:extLst>
                <a:ext uri="{63B3BB69-23CF-44E3-9099-C40C66FF867C}">
                  <a14:compatExt spid="_x0000_s226848"/>
                </a:ext>
                <a:ext uri="{FF2B5EF4-FFF2-40B4-BE49-F238E27FC236}">
                  <a16:creationId xmlns:a16="http://schemas.microsoft.com/office/drawing/2014/main" id="{00000000-0008-0000-1800-000020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237</xdr:row>
          <xdr:rowOff>0</xdr:rowOff>
        </xdr:from>
        <xdr:to>
          <xdr:col>7</xdr:col>
          <xdr:colOff>0</xdr:colOff>
          <xdr:row>238</xdr:row>
          <xdr:rowOff>0</xdr:rowOff>
        </xdr:to>
        <xdr:sp macro="" textlink="">
          <xdr:nvSpPr>
            <xdr:cNvPr id="226849" name="bpmDropDownFLU1734" hidden="1">
              <a:extLst>
                <a:ext uri="{63B3BB69-23CF-44E3-9099-C40C66FF867C}">
                  <a14:compatExt spid="_x0000_s226849"/>
                </a:ext>
                <a:ext uri="{FF2B5EF4-FFF2-40B4-BE49-F238E27FC236}">
                  <a16:creationId xmlns:a16="http://schemas.microsoft.com/office/drawing/2014/main" id="{00000000-0008-0000-1800-000021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7</xdr:col>
          <xdr:colOff>0</xdr:colOff>
          <xdr:row>239</xdr:row>
          <xdr:rowOff>0</xdr:rowOff>
        </xdr:to>
        <xdr:sp macro="" textlink="">
          <xdr:nvSpPr>
            <xdr:cNvPr id="226850" name="bpmDropDownFLU1735" hidden="1">
              <a:extLst>
                <a:ext uri="{63B3BB69-23CF-44E3-9099-C40C66FF867C}">
                  <a14:compatExt spid="_x0000_s226850"/>
                </a:ext>
                <a:ext uri="{FF2B5EF4-FFF2-40B4-BE49-F238E27FC236}">
                  <a16:creationId xmlns:a16="http://schemas.microsoft.com/office/drawing/2014/main" id="{00000000-0008-0000-1800-000022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7</xdr:col>
          <xdr:colOff>0</xdr:colOff>
          <xdr:row>32</xdr:row>
          <xdr:rowOff>0</xdr:rowOff>
        </xdr:to>
        <xdr:sp macro="" textlink="">
          <xdr:nvSpPr>
            <xdr:cNvPr id="226851" name="bpmDropDownFLU399" hidden="1">
              <a:extLst>
                <a:ext uri="{63B3BB69-23CF-44E3-9099-C40C66FF867C}">
                  <a14:compatExt spid="_x0000_s226851"/>
                </a:ext>
                <a:ext uri="{FF2B5EF4-FFF2-40B4-BE49-F238E27FC236}">
                  <a16:creationId xmlns:a16="http://schemas.microsoft.com/office/drawing/2014/main" id="{00000000-0008-0000-1800-000023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0</xdr:colOff>
          <xdr:row>32</xdr:row>
          <xdr:rowOff>0</xdr:rowOff>
        </xdr:to>
        <xdr:sp macro="" textlink="">
          <xdr:nvSpPr>
            <xdr:cNvPr id="226852" name="bpmDropDownFLU400" hidden="1">
              <a:extLst>
                <a:ext uri="{63B3BB69-23CF-44E3-9099-C40C66FF867C}">
                  <a14:compatExt spid="_x0000_s226852"/>
                </a:ext>
                <a:ext uri="{FF2B5EF4-FFF2-40B4-BE49-F238E27FC236}">
                  <a16:creationId xmlns:a16="http://schemas.microsoft.com/office/drawing/2014/main" id="{00000000-0008-0000-1800-000024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7</xdr:col>
          <xdr:colOff>0</xdr:colOff>
          <xdr:row>51</xdr:row>
          <xdr:rowOff>0</xdr:rowOff>
        </xdr:to>
        <xdr:sp macro="" textlink="">
          <xdr:nvSpPr>
            <xdr:cNvPr id="226853" name="bpmDropDownFLU401" hidden="1">
              <a:extLst>
                <a:ext uri="{63B3BB69-23CF-44E3-9099-C40C66FF867C}">
                  <a14:compatExt spid="_x0000_s226853"/>
                </a:ext>
                <a:ext uri="{FF2B5EF4-FFF2-40B4-BE49-F238E27FC236}">
                  <a16:creationId xmlns:a16="http://schemas.microsoft.com/office/drawing/2014/main" id="{00000000-0008-0000-1800-000025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0</xdr:rowOff>
        </xdr:from>
        <xdr:to>
          <xdr:col>7</xdr:col>
          <xdr:colOff>0</xdr:colOff>
          <xdr:row>70</xdr:row>
          <xdr:rowOff>0</xdr:rowOff>
        </xdr:to>
        <xdr:sp macro="" textlink="">
          <xdr:nvSpPr>
            <xdr:cNvPr id="226854" name="bpmDropDownFLU402" hidden="1">
              <a:extLst>
                <a:ext uri="{63B3BB69-23CF-44E3-9099-C40C66FF867C}">
                  <a14:compatExt spid="_x0000_s226854"/>
                </a:ext>
                <a:ext uri="{FF2B5EF4-FFF2-40B4-BE49-F238E27FC236}">
                  <a16:creationId xmlns:a16="http://schemas.microsoft.com/office/drawing/2014/main" id="{00000000-0008-0000-1800-000026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7</xdr:col>
          <xdr:colOff>0</xdr:colOff>
          <xdr:row>89</xdr:row>
          <xdr:rowOff>0</xdr:rowOff>
        </xdr:to>
        <xdr:sp macro="" textlink="">
          <xdr:nvSpPr>
            <xdr:cNvPr id="226855" name="bpmDropDownFLU403" hidden="1">
              <a:extLst>
                <a:ext uri="{63B3BB69-23CF-44E3-9099-C40C66FF867C}">
                  <a14:compatExt spid="_x0000_s226855"/>
                </a:ext>
                <a:ext uri="{FF2B5EF4-FFF2-40B4-BE49-F238E27FC236}">
                  <a16:creationId xmlns:a16="http://schemas.microsoft.com/office/drawing/2014/main" id="{00000000-0008-0000-1800-000027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7</xdr:col>
          <xdr:colOff>0</xdr:colOff>
          <xdr:row>117</xdr:row>
          <xdr:rowOff>0</xdr:rowOff>
        </xdr:to>
        <xdr:sp macro="" textlink="">
          <xdr:nvSpPr>
            <xdr:cNvPr id="226856" name="bpmDropDownFLU404" hidden="1">
              <a:extLst>
                <a:ext uri="{63B3BB69-23CF-44E3-9099-C40C66FF867C}">
                  <a14:compatExt spid="_x0000_s226856"/>
                </a:ext>
                <a:ext uri="{FF2B5EF4-FFF2-40B4-BE49-F238E27FC236}">
                  <a16:creationId xmlns:a16="http://schemas.microsoft.com/office/drawing/2014/main" id="{00000000-0008-0000-1800-000028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116</xdr:row>
          <xdr:rowOff>0</xdr:rowOff>
        </xdr:from>
        <xdr:to>
          <xdr:col>9</xdr:col>
          <xdr:colOff>0</xdr:colOff>
          <xdr:row>117</xdr:row>
          <xdr:rowOff>0</xdr:rowOff>
        </xdr:to>
        <xdr:sp macro="" textlink="">
          <xdr:nvSpPr>
            <xdr:cNvPr id="226857" name="bpmDropDownFLU405" hidden="1">
              <a:extLst>
                <a:ext uri="{63B3BB69-23CF-44E3-9099-C40C66FF867C}">
                  <a14:compatExt spid="_x0000_s226857"/>
                </a:ext>
                <a:ext uri="{FF2B5EF4-FFF2-40B4-BE49-F238E27FC236}">
                  <a16:creationId xmlns:a16="http://schemas.microsoft.com/office/drawing/2014/main" id="{00000000-0008-0000-1800-000029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0</xdr:rowOff>
        </xdr:from>
        <xdr:to>
          <xdr:col>7</xdr:col>
          <xdr:colOff>0</xdr:colOff>
          <xdr:row>136</xdr:row>
          <xdr:rowOff>0</xdr:rowOff>
        </xdr:to>
        <xdr:sp macro="" textlink="">
          <xdr:nvSpPr>
            <xdr:cNvPr id="226858" name="bpmDropDownFLU406" hidden="1">
              <a:extLst>
                <a:ext uri="{63B3BB69-23CF-44E3-9099-C40C66FF867C}">
                  <a14:compatExt spid="_x0000_s226858"/>
                </a:ext>
                <a:ext uri="{FF2B5EF4-FFF2-40B4-BE49-F238E27FC236}">
                  <a16:creationId xmlns:a16="http://schemas.microsoft.com/office/drawing/2014/main" id="{00000000-0008-0000-1800-00002A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226859" name="bpmDropDownFLU407" hidden="1">
              <a:extLst>
                <a:ext uri="{63B3BB69-23CF-44E3-9099-C40C66FF867C}">
                  <a14:compatExt spid="_x0000_s226859"/>
                </a:ext>
                <a:ext uri="{FF2B5EF4-FFF2-40B4-BE49-F238E27FC236}">
                  <a16:creationId xmlns:a16="http://schemas.microsoft.com/office/drawing/2014/main" id="{00000000-0008-0000-1800-00002B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173</xdr:row>
          <xdr:rowOff>0</xdr:rowOff>
        </xdr:from>
        <xdr:to>
          <xdr:col>7</xdr:col>
          <xdr:colOff>0</xdr:colOff>
          <xdr:row>174</xdr:row>
          <xdr:rowOff>0</xdr:rowOff>
        </xdr:to>
        <xdr:sp macro="" textlink="">
          <xdr:nvSpPr>
            <xdr:cNvPr id="226860" name="bpmDropDownFLU408" hidden="1">
              <a:extLst>
                <a:ext uri="{63B3BB69-23CF-44E3-9099-C40C66FF867C}">
                  <a14:compatExt spid="_x0000_s226860"/>
                </a:ext>
                <a:ext uri="{FF2B5EF4-FFF2-40B4-BE49-F238E27FC236}">
                  <a16:creationId xmlns:a16="http://schemas.microsoft.com/office/drawing/2014/main" id="{00000000-0008-0000-1800-00002C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201</xdr:row>
          <xdr:rowOff>0</xdr:rowOff>
        </xdr:from>
        <xdr:to>
          <xdr:col>7</xdr:col>
          <xdr:colOff>0</xdr:colOff>
          <xdr:row>202</xdr:row>
          <xdr:rowOff>0</xdr:rowOff>
        </xdr:to>
        <xdr:sp macro="" textlink="">
          <xdr:nvSpPr>
            <xdr:cNvPr id="226861" name="bpmDropDownFLU409" hidden="1">
              <a:extLst>
                <a:ext uri="{63B3BB69-23CF-44E3-9099-C40C66FF867C}">
                  <a14:compatExt spid="_x0000_s226861"/>
                </a:ext>
                <a:ext uri="{FF2B5EF4-FFF2-40B4-BE49-F238E27FC236}">
                  <a16:creationId xmlns:a16="http://schemas.microsoft.com/office/drawing/2014/main" id="{00000000-0008-0000-1800-00002D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201</xdr:row>
          <xdr:rowOff>0</xdr:rowOff>
        </xdr:from>
        <xdr:to>
          <xdr:col>9</xdr:col>
          <xdr:colOff>0</xdr:colOff>
          <xdr:row>202</xdr:row>
          <xdr:rowOff>0</xdr:rowOff>
        </xdr:to>
        <xdr:sp macro="" textlink="">
          <xdr:nvSpPr>
            <xdr:cNvPr id="226862" name="bpmDropDownFLU410" hidden="1">
              <a:extLst>
                <a:ext uri="{63B3BB69-23CF-44E3-9099-C40C66FF867C}">
                  <a14:compatExt spid="_x0000_s226862"/>
                </a:ext>
                <a:ext uri="{FF2B5EF4-FFF2-40B4-BE49-F238E27FC236}">
                  <a16:creationId xmlns:a16="http://schemas.microsoft.com/office/drawing/2014/main" id="{00000000-0008-0000-1800-00002E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7</xdr:col>
          <xdr:colOff>0</xdr:colOff>
          <xdr:row>221</xdr:row>
          <xdr:rowOff>0</xdr:rowOff>
        </xdr:to>
        <xdr:sp macro="" textlink="">
          <xdr:nvSpPr>
            <xdr:cNvPr id="226863" name="bpmDropDownFLU412" hidden="1">
              <a:extLst>
                <a:ext uri="{63B3BB69-23CF-44E3-9099-C40C66FF867C}">
                  <a14:compatExt spid="_x0000_s226863"/>
                </a:ext>
                <a:ext uri="{FF2B5EF4-FFF2-40B4-BE49-F238E27FC236}">
                  <a16:creationId xmlns:a16="http://schemas.microsoft.com/office/drawing/2014/main" id="{00000000-0008-0000-1800-00002F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239</xdr:row>
          <xdr:rowOff>0</xdr:rowOff>
        </xdr:from>
        <xdr:to>
          <xdr:col>7</xdr:col>
          <xdr:colOff>0</xdr:colOff>
          <xdr:row>240</xdr:row>
          <xdr:rowOff>0</xdr:rowOff>
        </xdr:to>
        <xdr:sp macro="" textlink="">
          <xdr:nvSpPr>
            <xdr:cNvPr id="226864" name="bpmDropDownFLU414" hidden="1">
              <a:extLst>
                <a:ext uri="{63B3BB69-23CF-44E3-9099-C40C66FF867C}">
                  <a14:compatExt spid="_x0000_s226864"/>
                </a:ext>
                <a:ext uri="{FF2B5EF4-FFF2-40B4-BE49-F238E27FC236}">
                  <a16:creationId xmlns:a16="http://schemas.microsoft.com/office/drawing/2014/main" id="{00000000-0008-0000-1800-000030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258</xdr:row>
          <xdr:rowOff>0</xdr:rowOff>
        </xdr:from>
        <xdr:to>
          <xdr:col>7</xdr:col>
          <xdr:colOff>0</xdr:colOff>
          <xdr:row>259</xdr:row>
          <xdr:rowOff>0</xdr:rowOff>
        </xdr:to>
        <xdr:sp macro="" textlink="">
          <xdr:nvSpPr>
            <xdr:cNvPr id="226865" name="bpmDropDownFLU415" hidden="1">
              <a:extLst>
                <a:ext uri="{63B3BB69-23CF-44E3-9099-C40C66FF867C}">
                  <a14:compatExt spid="_x0000_s226865"/>
                </a:ext>
                <a:ext uri="{FF2B5EF4-FFF2-40B4-BE49-F238E27FC236}">
                  <a16:creationId xmlns:a16="http://schemas.microsoft.com/office/drawing/2014/main" id="{00000000-0008-0000-1800-00003176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790575</xdr:colOff>
      <xdr:row>0</xdr:row>
      <xdr:rowOff>219075</xdr:rowOff>
    </xdr:from>
    <xdr:to>
      <xdr:col>11</xdr:col>
      <xdr:colOff>657225</xdr:colOff>
      <xdr:row>2</xdr:row>
      <xdr:rowOff>19050</xdr:rowOff>
    </xdr:to>
    <xdr:sp macro="" textlink="">
      <xdr:nvSpPr>
        <xdr:cNvPr id="245" name="Auto Shape 2">
          <a:hlinkClick xmlns:r="http://schemas.openxmlformats.org/officeDocument/2006/relationships" r:id="rId1"/>
          <a:extLst>
            <a:ext uri="{FF2B5EF4-FFF2-40B4-BE49-F238E27FC236}">
              <a16:creationId xmlns:a16="http://schemas.microsoft.com/office/drawing/2014/main" id="{00000000-0008-0000-1800-0000F5000000}"/>
            </a:ext>
          </a:extLst>
        </xdr:cNvPr>
        <xdr:cNvSpPr/>
      </xdr:nvSpPr>
      <xdr:spPr>
        <a:xfrm>
          <a:off x="7162800" y="219075"/>
          <a:ext cx="1647825"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243" name="Picture 1">
          <a:hlinkClick xmlns:r="http://schemas.openxmlformats.org/officeDocument/2006/relationships" r:id="rId2"/>
          <a:extLst>
            <a:ext uri="{FF2B5EF4-FFF2-40B4-BE49-F238E27FC236}">
              <a16:creationId xmlns:a16="http://schemas.microsoft.com/office/drawing/2014/main" id="{00000000-0008-0000-1800-0000F3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7</xdr:col>
      <xdr:colOff>800100</xdr:colOff>
      <xdr:row>2</xdr:row>
      <xdr:rowOff>38100</xdr:rowOff>
    </xdr:from>
    <xdr:to>
      <xdr:col>9</xdr:col>
      <xdr:colOff>352425</xdr:colOff>
      <xdr:row>3</xdr:row>
      <xdr:rowOff>142875</xdr:rowOff>
    </xdr:to>
    <xdr:sp macro="" textlink="">
      <xdr:nvSpPr>
        <xdr:cNvPr id="244" name="Auto Shape 1">
          <a:hlinkClick xmlns:r="http://schemas.openxmlformats.org/officeDocument/2006/relationships" r:id="rId4"/>
          <a:extLst>
            <a:ext uri="{FF2B5EF4-FFF2-40B4-BE49-F238E27FC236}">
              <a16:creationId xmlns:a16="http://schemas.microsoft.com/office/drawing/2014/main" id="{00000000-0008-0000-1800-0000F4000000}"/>
            </a:ext>
          </a:extLst>
        </xdr:cNvPr>
        <xdr:cNvSpPr/>
      </xdr:nvSpPr>
      <xdr:spPr>
        <a:xfrm>
          <a:off x="3952875" y="542925"/>
          <a:ext cx="2771775" cy="295275"/>
        </a:xfrm>
        <a:prstGeom prst="snip1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MICROPLANNING</a:t>
          </a:r>
        </a:p>
      </xdr:txBody>
    </xdr:sp>
    <xdr:clientData/>
  </xdr:twoCellAnchor>
  <xdr:twoCellAnchor editAs="oneCell">
    <xdr:from>
      <xdr:col>12</xdr:col>
      <xdr:colOff>152400</xdr:colOff>
      <xdr:row>0</xdr:row>
      <xdr:rowOff>133350</xdr:rowOff>
    </xdr:from>
    <xdr:to>
      <xdr:col>12</xdr:col>
      <xdr:colOff>647638</xdr:colOff>
      <xdr:row>2</xdr:row>
      <xdr:rowOff>123763</xdr:rowOff>
    </xdr:to>
    <xdr:pic>
      <xdr:nvPicPr>
        <xdr:cNvPr id="246" name="Picture 2">
          <a:extLst>
            <a:ext uri="{FF2B5EF4-FFF2-40B4-BE49-F238E27FC236}">
              <a16:creationId xmlns:a16="http://schemas.microsoft.com/office/drawing/2014/main" id="{00000000-0008-0000-1800-0000F6000000}"/>
            </a:ext>
          </a:extLst>
        </xdr:cNvPr>
        <xdr:cNvPicPr>
          <a:picLocks noChangeAspect="1"/>
        </xdr:cNvPicPr>
      </xdr:nvPicPr>
      <xdr:blipFill>
        <a:blip xmlns:r="http://schemas.openxmlformats.org/officeDocument/2006/relationships" r:embed="rId5"/>
        <a:stretch>
          <a:fillRect/>
        </a:stretch>
      </xdr:blipFill>
      <xdr:spPr>
        <a:xfrm>
          <a:off x="9191625" y="133350"/>
          <a:ext cx="495238" cy="49523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762000</xdr:colOff>
      <xdr:row>0</xdr:row>
      <xdr:rowOff>190500</xdr:rowOff>
    </xdr:from>
    <xdr:to>
      <xdr:col>13</xdr:col>
      <xdr:colOff>628650</xdr:colOff>
      <xdr:row>0</xdr:row>
      <xdr:rowOff>523875</xdr:rowOff>
    </xdr:to>
    <xdr:sp macro="" textlink="">
      <xdr:nvSpPr>
        <xdr:cNvPr id="2" name="Auto Shape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7458075" y="190500"/>
          <a:ext cx="1638300" cy="333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9525</xdr:colOff>
      <xdr:row>0</xdr:row>
      <xdr:rowOff>171450</xdr:rowOff>
    </xdr:from>
    <xdr:to>
      <xdr:col>1</xdr:col>
      <xdr:colOff>19050</xdr:colOff>
      <xdr:row>0</xdr:row>
      <xdr:rowOff>457200</xdr:rowOff>
    </xdr:to>
    <xdr:pic>
      <xdr:nvPicPr>
        <xdr:cNvPr id="3" name="Picture 1">
          <a:hlinkClick xmlns:r="http://schemas.openxmlformats.org/officeDocument/2006/relationships" r:id="rId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3"/>
        <a:stretch>
          <a:fillRect/>
        </a:stretch>
      </xdr:blipFill>
      <xdr:spPr>
        <a:xfrm>
          <a:off x="9525" y="171450"/>
          <a:ext cx="285750" cy="285750"/>
        </a:xfrm>
        <a:prstGeom prst="rect">
          <a:avLst/>
        </a:prstGeom>
      </xdr:spPr>
    </xdr:pic>
    <xdr:clientData/>
  </xdr:twoCellAnchor>
  <xdr:twoCellAnchor>
    <xdr:from>
      <xdr:col>8</xdr:col>
      <xdr:colOff>9525</xdr:colOff>
      <xdr:row>2</xdr:row>
      <xdr:rowOff>9525</xdr:rowOff>
    </xdr:from>
    <xdr:to>
      <xdr:col>11</xdr:col>
      <xdr:colOff>342900</xdr:colOff>
      <xdr:row>3</xdr:row>
      <xdr:rowOff>142875</xdr:rowOff>
    </xdr:to>
    <xdr:sp macro="" textlink="">
      <xdr:nvSpPr>
        <xdr:cNvPr id="4" name="Auto Shape 2">
          <a:hlinkClick xmlns:r="http://schemas.openxmlformats.org/officeDocument/2006/relationships" r:id="rId4"/>
          <a:extLst>
            <a:ext uri="{FF2B5EF4-FFF2-40B4-BE49-F238E27FC236}">
              <a16:creationId xmlns:a16="http://schemas.microsoft.com/office/drawing/2014/main" id="{00000000-0008-0000-1900-000004000000}"/>
            </a:ext>
          </a:extLst>
        </xdr:cNvPr>
        <xdr:cNvSpPr/>
      </xdr:nvSpPr>
      <xdr:spPr>
        <a:xfrm>
          <a:off x="4048125" y="514350"/>
          <a:ext cx="2990850" cy="323850"/>
        </a:xfrm>
        <a:prstGeom prst="snip1Rect">
          <a:avLst/>
        </a:prstGeom>
        <a:solidFill>
          <a:schemeClr val="bg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ctr"/>
          <a:r>
            <a:rPr lang="en-US" sz="1100" b="1"/>
            <a:t>DISTRIBUTION  SUMMARY SHEET</a:t>
          </a:r>
        </a:p>
      </xdr:txBody>
    </xdr:sp>
    <xdr:clientData/>
  </xdr:twoCellAnchor>
  <xdr:twoCellAnchor editAs="oneCell">
    <xdr:from>
      <xdr:col>14</xdr:col>
      <xdr:colOff>0</xdr:colOff>
      <xdr:row>0</xdr:row>
      <xdr:rowOff>114300</xdr:rowOff>
    </xdr:from>
    <xdr:to>
      <xdr:col>14</xdr:col>
      <xdr:colOff>571500</xdr:colOff>
      <xdr:row>0</xdr:row>
      <xdr:rowOff>571443</xdr:rowOff>
    </xdr:to>
    <xdr:pic>
      <xdr:nvPicPr>
        <xdr:cNvPr id="5" name="Picture 2">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5"/>
        <a:stretch>
          <a:fillRect/>
        </a:stretch>
      </xdr:blipFill>
      <xdr:spPr>
        <a:xfrm>
          <a:off x="9353550" y="114300"/>
          <a:ext cx="571500" cy="4571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1061889" name="bpmDropDownFLU164" hidden="1">
              <a:extLst>
                <a:ext uri="{63B3BB69-23CF-44E3-9099-C40C66FF867C}">
                  <a14:compatExt spid="_x0000_s1061889"/>
                </a:ext>
                <a:ext uri="{FF2B5EF4-FFF2-40B4-BE49-F238E27FC236}">
                  <a16:creationId xmlns:a16="http://schemas.microsoft.com/office/drawing/2014/main" id="{00000000-0008-0000-1900-00000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1061890" name="bpmDropDownFLU177" hidden="1">
              <a:extLst>
                <a:ext uri="{63B3BB69-23CF-44E3-9099-C40C66FF867C}">
                  <a14:compatExt spid="_x0000_s1061890"/>
                </a:ext>
                <a:ext uri="{FF2B5EF4-FFF2-40B4-BE49-F238E27FC236}">
                  <a16:creationId xmlns:a16="http://schemas.microsoft.com/office/drawing/2014/main" id="{00000000-0008-0000-1900-00000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1061891" name="bpmDropDownFLU178" hidden="1">
              <a:extLst>
                <a:ext uri="{63B3BB69-23CF-44E3-9099-C40C66FF867C}">
                  <a14:compatExt spid="_x0000_s1061891"/>
                </a:ext>
                <a:ext uri="{FF2B5EF4-FFF2-40B4-BE49-F238E27FC236}">
                  <a16:creationId xmlns:a16="http://schemas.microsoft.com/office/drawing/2014/main" id="{00000000-0008-0000-1900-00000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1061892" name="bpmDropDownFLU227" hidden="1">
              <a:extLst>
                <a:ext uri="{63B3BB69-23CF-44E3-9099-C40C66FF867C}">
                  <a14:compatExt spid="_x0000_s1061892"/>
                </a:ext>
                <a:ext uri="{FF2B5EF4-FFF2-40B4-BE49-F238E27FC236}">
                  <a16:creationId xmlns:a16="http://schemas.microsoft.com/office/drawing/2014/main" id="{00000000-0008-0000-1900-00000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1061893" name="bpmDropDownFLU228" hidden="1">
              <a:extLst>
                <a:ext uri="{63B3BB69-23CF-44E3-9099-C40C66FF867C}">
                  <a14:compatExt spid="_x0000_s1061893"/>
                </a:ext>
                <a:ext uri="{FF2B5EF4-FFF2-40B4-BE49-F238E27FC236}">
                  <a16:creationId xmlns:a16="http://schemas.microsoft.com/office/drawing/2014/main" id="{00000000-0008-0000-1900-00000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1061894" name="bpmDropDownFLU229" hidden="1">
              <a:extLst>
                <a:ext uri="{63B3BB69-23CF-44E3-9099-C40C66FF867C}">
                  <a14:compatExt spid="_x0000_s1061894"/>
                </a:ext>
                <a:ext uri="{FF2B5EF4-FFF2-40B4-BE49-F238E27FC236}">
                  <a16:creationId xmlns:a16="http://schemas.microsoft.com/office/drawing/2014/main" id="{00000000-0008-0000-1900-00000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1061895" name="bpmDropDownFLU230" hidden="1">
              <a:extLst>
                <a:ext uri="{63B3BB69-23CF-44E3-9099-C40C66FF867C}">
                  <a14:compatExt spid="_x0000_s1061895"/>
                </a:ext>
                <a:ext uri="{FF2B5EF4-FFF2-40B4-BE49-F238E27FC236}">
                  <a16:creationId xmlns:a16="http://schemas.microsoft.com/office/drawing/2014/main" id="{00000000-0008-0000-1900-00000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1061896" name="bpmDropDownFLU232" hidden="1">
              <a:extLst>
                <a:ext uri="{63B3BB69-23CF-44E3-9099-C40C66FF867C}">
                  <a14:compatExt spid="_x0000_s1061896"/>
                </a:ext>
                <a:ext uri="{FF2B5EF4-FFF2-40B4-BE49-F238E27FC236}">
                  <a16:creationId xmlns:a16="http://schemas.microsoft.com/office/drawing/2014/main" id="{00000000-0008-0000-1900-00000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1061898" name="bpmDropDownFLU234" hidden="1">
              <a:extLst>
                <a:ext uri="{63B3BB69-23CF-44E3-9099-C40C66FF867C}">
                  <a14:compatExt spid="_x0000_s1061898"/>
                </a:ext>
                <a:ext uri="{FF2B5EF4-FFF2-40B4-BE49-F238E27FC236}">
                  <a16:creationId xmlns:a16="http://schemas.microsoft.com/office/drawing/2014/main" id="{00000000-0008-0000-1900-00000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1061899" name="bpmDropDownFLU235" hidden="1">
              <a:extLst>
                <a:ext uri="{63B3BB69-23CF-44E3-9099-C40C66FF867C}">
                  <a14:compatExt spid="_x0000_s1061899"/>
                </a:ext>
                <a:ext uri="{FF2B5EF4-FFF2-40B4-BE49-F238E27FC236}">
                  <a16:creationId xmlns:a16="http://schemas.microsoft.com/office/drawing/2014/main" id="{00000000-0008-0000-1900-00000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1061900" name="bpmDropDownFLU236" hidden="1">
              <a:extLst>
                <a:ext uri="{63B3BB69-23CF-44E3-9099-C40C66FF867C}">
                  <a14:compatExt spid="_x0000_s1061900"/>
                </a:ext>
                <a:ext uri="{FF2B5EF4-FFF2-40B4-BE49-F238E27FC236}">
                  <a16:creationId xmlns:a16="http://schemas.microsoft.com/office/drawing/2014/main" id="{00000000-0008-0000-1900-00000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1061901" name="bpmDropDownFLU237" hidden="1">
              <a:extLst>
                <a:ext uri="{63B3BB69-23CF-44E3-9099-C40C66FF867C}">
                  <a14:compatExt spid="_x0000_s1061901"/>
                </a:ext>
                <a:ext uri="{FF2B5EF4-FFF2-40B4-BE49-F238E27FC236}">
                  <a16:creationId xmlns:a16="http://schemas.microsoft.com/office/drawing/2014/main" id="{00000000-0008-0000-1900-00000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1061902" name="bpmDropDownFLU238" hidden="1">
              <a:extLst>
                <a:ext uri="{63B3BB69-23CF-44E3-9099-C40C66FF867C}">
                  <a14:compatExt spid="_x0000_s1061902"/>
                </a:ext>
                <a:ext uri="{FF2B5EF4-FFF2-40B4-BE49-F238E27FC236}">
                  <a16:creationId xmlns:a16="http://schemas.microsoft.com/office/drawing/2014/main" id="{00000000-0008-0000-1900-00000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7</xdr:col>
          <xdr:colOff>0</xdr:colOff>
          <xdr:row>30</xdr:row>
          <xdr:rowOff>0</xdr:rowOff>
        </xdr:to>
        <xdr:sp macro="" textlink="">
          <xdr:nvSpPr>
            <xdr:cNvPr id="1061903" name="bpmDropDownFLU239" hidden="1">
              <a:extLst>
                <a:ext uri="{63B3BB69-23CF-44E3-9099-C40C66FF867C}">
                  <a14:compatExt spid="_x0000_s1061903"/>
                </a:ext>
                <a:ext uri="{FF2B5EF4-FFF2-40B4-BE49-F238E27FC236}">
                  <a16:creationId xmlns:a16="http://schemas.microsoft.com/office/drawing/2014/main" id="{00000000-0008-0000-1900-00000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7</xdr:col>
          <xdr:colOff>0</xdr:colOff>
          <xdr:row>31</xdr:row>
          <xdr:rowOff>0</xdr:rowOff>
        </xdr:to>
        <xdr:sp macro="" textlink="">
          <xdr:nvSpPr>
            <xdr:cNvPr id="1061904" name="bpmDropDownFLU240" hidden="1">
              <a:extLst>
                <a:ext uri="{63B3BB69-23CF-44E3-9099-C40C66FF867C}">
                  <a14:compatExt spid="_x0000_s1061904"/>
                </a:ext>
                <a:ext uri="{FF2B5EF4-FFF2-40B4-BE49-F238E27FC236}">
                  <a16:creationId xmlns:a16="http://schemas.microsoft.com/office/drawing/2014/main" id="{00000000-0008-0000-1900-00001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1061905" name="bpmDropDownFLU241" hidden="1">
              <a:extLst>
                <a:ext uri="{63B3BB69-23CF-44E3-9099-C40C66FF867C}">
                  <a14:compatExt spid="_x0000_s1061905"/>
                </a:ext>
                <a:ext uri="{FF2B5EF4-FFF2-40B4-BE49-F238E27FC236}">
                  <a16:creationId xmlns:a16="http://schemas.microsoft.com/office/drawing/2014/main" id="{00000000-0008-0000-1900-00001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1061906" name="bpmDropDownFLU256" hidden="1">
              <a:extLst>
                <a:ext uri="{63B3BB69-23CF-44E3-9099-C40C66FF867C}">
                  <a14:compatExt spid="_x0000_s1061906"/>
                </a:ext>
                <a:ext uri="{FF2B5EF4-FFF2-40B4-BE49-F238E27FC236}">
                  <a16:creationId xmlns:a16="http://schemas.microsoft.com/office/drawing/2014/main" id="{00000000-0008-0000-1900-00001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1061907" name="bpmDropDownFLU257" hidden="1">
              <a:extLst>
                <a:ext uri="{63B3BB69-23CF-44E3-9099-C40C66FF867C}">
                  <a14:compatExt spid="_x0000_s1061907"/>
                </a:ext>
                <a:ext uri="{FF2B5EF4-FFF2-40B4-BE49-F238E27FC236}">
                  <a16:creationId xmlns:a16="http://schemas.microsoft.com/office/drawing/2014/main" id="{00000000-0008-0000-1900-00001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1061908" name="bpmDropDownFLU258" hidden="1">
              <a:extLst>
                <a:ext uri="{63B3BB69-23CF-44E3-9099-C40C66FF867C}">
                  <a14:compatExt spid="_x0000_s1061908"/>
                </a:ext>
                <a:ext uri="{FF2B5EF4-FFF2-40B4-BE49-F238E27FC236}">
                  <a16:creationId xmlns:a16="http://schemas.microsoft.com/office/drawing/2014/main" id="{00000000-0008-0000-1900-00001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1061909" name="bpmDropDownFLU259" hidden="1">
              <a:extLst>
                <a:ext uri="{63B3BB69-23CF-44E3-9099-C40C66FF867C}">
                  <a14:compatExt spid="_x0000_s1061909"/>
                </a:ext>
                <a:ext uri="{FF2B5EF4-FFF2-40B4-BE49-F238E27FC236}">
                  <a16:creationId xmlns:a16="http://schemas.microsoft.com/office/drawing/2014/main" id="{00000000-0008-0000-1900-00001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1061910" name="bpmDropDownFLU260" hidden="1">
              <a:extLst>
                <a:ext uri="{63B3BB69-23CF-44E3-9099-C40C66FF867C}">
                  <a14:compatExt spid="_x0000_s1061910"/>
                </a:ext>
                <a:ext uri="{FF2B5EF4-FFF2-40B4-BE49-F238E27FC236}">
                  <a16:creationId xmlns:a16="http://schemas.microsoft.com/office/drawing/2014/main" id="{00000000-0008-0000-1900-00001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1061911" name="bpmDropDownFLU261" hidden="1">
              <a:extLst>
                <a:ext uri="{63B3BB69-23CF-44E3-9099-C40C66FF867C}">
                  <a14:compatExt spid="_x0000_s1061911"/>
                </a:ext>
                <a:ext uri="{FF2B5EF4-FFF2-40B4-BE49-F238E27FC236}">
                  <a16:creationId xmlns:a16="http://schemas.microsoft.com/office/drawing/2014/main" id="{00000000-0008-0000-1900-00001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1061912" name="bpmDropDownFLU262" hidden="1">
              <a:extLst>
                <a:ext uri="{63B3BB69-23CF-44E3-9099-C40C66FF867C}">
                  <a14:compatExt spid="_x0000_s1061912"/>
                </a:ext>
                <a:ext uri="{FF2B5EF4-FFF2-40B4-BE49-F238E27FC236}">
                  <a16:creationId xmlns:a16="http://schemas.microsoft.com/office/drawing/2014/main" id="{00000000-0008-0000-1900-00001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1061914" name="bpmDropDownFLU264" hidden="1">
              <a:extLst>
                <a:ext uri="{63B3BB69-23CF-44E3-9099-C40C66FF867C}">
                  <a14:compatExt spid="_x0000_s1061914"/>
                </a:ext>
                <a:ext uri="{FF2B5EF4-FFF2-40B4-BE49-F238E27FC236}">
                  <a16:creationId xmlns:a16="http://schemas.microsoft.com/office/drawing/2014/main" id="{00000000-0008-0000-1900-00001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1061915" name="bpmDropDownFLU265" hidden="1">
              <a:extLst>
                <a:ext uri="{63B3BB69-23CF-44E3-9099-C40C66FF867C}">
                  <a14:compatExt spid="_x0000_s1061915"/>
                </a:ext>
                <a:ext uri="{FF2B5EF4-FFF2-40B4-BE49-F238E27FC236}">
                  <a16:creationId xmlns:a16="http://schemas.microsoft.com/office/drawing/2014/main" id="{00000000-0008-0000-1900-00001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1061916" name="bpmDropDownFLU266" hidden="1">
              <a:extLst>
                <a:ext uri="{63B3BB69-23CF-44E3-9099-C40C66FF867C}">
                  <a14:compatExt spid="_x0000_s1061916"/>
                </a:ext>
                <a:ext uri="{FF2B5EF4-FFF2-40B4-BE49-F238E27FC236}">
                  <a16:creationId xmlns:a16="http://schemas.microsoft.com/office/drawing/2014/main" id="{00000000-0008-0000-1900-00001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1061917" name="bpmDropDownFLU267" hidden="1">
              <a:extLst>
                <a:ext uri="{63B3BB69-23CF-44E3-9099-C40C66FF867C}">
                  <a14:compatExt spid="_x0000_s1061917"/>
                </a:ext>
                <a:ext uri="{FF2B5EF4-FFF2-40B4-BE49-F238E27FC236}">
                  <a16:creationId xmlns:a16="http://schemas.microsoft.com/office/drawing/2014/main" id="{00000000-0008-0000-1900-00001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1061918" name="bpmDropDownFLU272" hidden="1">
              <a:extLst>
                <a:ext uri="{63B3BB69-23CF-44E3-9099-C40C66FF867C}">
                  <a14:compatExt spid="_x0000_s1061918"/>
                </a:ext>
                <a:ext uri="{FF2B5EF4-FFF2-40B4-BE49-F238E27FC236}">
                  <a16:creationId xmlns:a16="http://schemas.microsoft.com/office/drawing/2014/main" id="{00000000-0008-0000-1900-00001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1061919" name="bpmDropDownFLU273" hidden="1">
              <a:extLst>
                <a:ext uri="{63B3BB69-23CF-44E3-9099-C40C66FF867C}">
                  <a14:compatExt spid="_x0000_s1061919"/>
                </a:ext>
                <a:ext uri="{FF2B5EF4-FFF2-40B4-BE49-F238E27FC236}">
                  <a16:creationId xmlns:a16="http://schemas.microsoft.com/office/drawing/2014/main" id="{00000000-0008-0000-1900-00001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9</xdr:col>
          <xdr:colOff>0</xdr:colOff>
          <xdr:row>31</xdr:row>
          <xdr:rowOff>0</xdr:rowOff>
        </xdr:to>
        <xdr:sp macro="" textlink="">
          <xdr:nvSpPr>
            <xdr:cNvPr id="1061920" name="bpmDropDownFLU274" hidden="1">
              <a:extLst>
                <a:ext uri="{63B3BB69-23CF-44E3-9099-C40C66FF867C}">
                  <a14:compatExt spid="_x0000_s1061920"/>
                </a:ext>
                <a:ext uri="{FF2B5EF4-FFF2-40B4-BE49-F238E27FC236}">
                  <a16:creationId xmlns:a16="http://schemas.microsoft.com/office/drawing/2014/main" id="{00000000-0008-0000-1900-00002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1061937" name="bpmDropDownFLU304" hidden="1">
              <a:extLst>
                <a:ext uri="{63B3BB69-23CF-44E3-9099-C40C66FF867C}">
                  <a14:compatExt spid="_x0000_s1061937"/>
                </a:ext>
                <a:ext uri="{FF2B5EF4-FFF2-40B4-BE49-F238E27FC236}">
                  <a16:creationId xmlns:a16="http://schemas.microsoft.com/office/drawing/2014/main" id="{00000000-0008-0000-1900-00003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1061938" name="bpmDropDownFLU305" hidden="1">
              <a:extLst>
                <a:ext uri="{63B3BB69-23CF-44E3-9099-C40C66FF867C}">
                  <a14:compatExt spid="_x0000_s1061938"/>
                </a:ext>
                <a:ext uri="{FF2B5EF4-FFF2-40B4-BE49-F238E27FC236}">
                  <a16:creationId xmlns:a16="http://schemas.microsoft.com/office/drawing/2014/main" id="{00000000-0008-0000-1900-00003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1061939" name="bpmDropDownFLU306" hidden="1">
              <a:extLst>
                <a:ext uri="{63B3BB69-23CF-44E3-9099-C40C66FF867C}">
                  <a14:compatExt spid="_x0000_s1061939"/>
                </a:ext>
                <a:ext uri="{FF2B5EF4-FFF2-40B4-BE49-F238E27FC236}">
                  <a16:creationId xmlns:a16="http://schemas.microsoft.com/office/drawing/2014/main" id="{00000000-0008-0000-1900-00003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1061940" name="bpmDropDownFLU307" hidden="1">
              <a:extLst>
                <a:ext uri="{63B3BB69-23CF-44E3-9099-C40C66FF867C}">
                  <a14:compatExt spid="_x0000_s1061940"/>
                </a:ext>
                <a:ext uri="{FF2B5EF4-FFF2-40B4-BE49-F238E27FC236}">
                  <a16:creationId xmlns:a16="http://schemas.microsoft.com/office/drawing/2014/main" id="{00000000-0008-0000-1900-00003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7</xdr:col>
          <xdr:colOff>0</xdr:colOff>
          <xdr:row>40</xdr:row>
          <xdr:rowOff>0</xdr:rowOff>
        </xdr:to>
        <xdr:sp macro="" textlink="">
          <xdr:nvSpPr>
            <xdr:cNvPr id="1061941" name="bpmDropDownFLU308" hidden="1">
              <a:extLst>
                <a:ext uri="{63B3BB69-23CF-44E3-9099-C40C66FF867C}">
                  <a14:compatExt spid="_x0000_s1061941"/>
                </a:ext>
                <a:ext uri="{FF2B5EF4-FFF2-40B4-BE49-F238E27FC236}">
                  <a16:creationId xmlns:a16="http://schemas.microsoft.com/office/drawing/2014/main" id="{00000000-0008-0000-1900-00003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1061942" name="bpmDropDownFLU309" hidden="1">
              <a:extLst>
                <a:ext uri="{63B3BB69-23CF-44E3-9099-C40C66FF867C}">
                  <a14:compatExt spid="_x0000_s1061942"/>
                </a:ext>
                <a:ext uri="{FF2B5EF4-FFF2-40B4-BE49-F238E27FC236}">
                  <a16:creationId xmlns:a16="http://schemas.microsoft.com/office/drawing/2014/main" id="{00000000-0008-0000-1900-00003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1061943" name="bpmDropDownFLU310" hidden="1">
              <a:extLst>
                <a:ext uri="{63B3BB69-23CF-44E3-9099-C40C66FF867C}">
                  <a14:compatExt spid="_x0000_s1061943"/>
                </a:ext>
                <a:ext uri="{FF2B5EF4-FFF2-40B4-BE49-F238E27FC236}">
                  <a16:creationId xmlns:a16="http://schemas.microsoft.com/office/drawing/2014/main" id="{00000000-0008-0000-1900-00003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1061944" name="bpmDropDownFLU311" hidden="1">
              <a:extLst>
                <a:ext uri="{63B3BB69-23CF-44E3-9099-C40C66FF867C}">
                  <a14:compatExt spid="_x0000_s1061944"/>
                </a:ext>
                <a:ext uri="{FF2B5EF4-FFF2-40B4-BE49-F238E27FC236}">
                  <a16:creationId xmlns:a16="http://schemas.microsoft.com/office/drawing/2014/main" id="{00000000-0008-0000-1900-00003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1061946" name="bpmDropDownFLU313" hidden="1">
              <a:extLst>
                <a:ext uri="{63B3BB69-23CF-44E3-9099-C40C66FF867C}">
                  <a14:compatExt spid="_x0000_s1061946"/>
                </a:ext>
                <a:ext uri="{FF2B5EF4-FFF2-40B4-BE49-F238E27FC236}">
                  <a16:creationId xmlns:a16="http://schemas.microsoft.com/office/drawing/2014/main" id="{00000000-0008-0000-1900-00003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1061947" name="bpmDropDownFLU314" hidden="1">
              <a:extLst>
                <a:ext uri="{63B3BB69-23CF-44E3-9099-C40C66FF867C}">
                  <a14:compatExt spid="_x0000_s1061947"/>
                </a:ext>
                <a:ext uri="{FF2B5EF4-FFF2-40B4-BE49-F238E27FC236}">
                  <a16:creationId xmlns:a16="http://schemas.microsoft.com/office/drawing/2014/main" id="{00000000-0008-0000-1900-00003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1061948" name="bpmDropDownFLU315" hidden="1">
              <a:extLst>
                <a:ext uri="{63B3BB69-23CF-44E3-9099-C40C66FF867C}">
                  <a14:compatExt spid="_x0000_s1061948"/>
                </a:ext>
                <a:ext uri="{FF2B5EF4-FFF2-40B4-BE49-F238E27FC236}">
                  <a16:creationId xmlns:a16="http://schemas.microsoft.com/office/drawing/2014/main" id="{00000000-0008-0000-1900-00003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1061949" name="bpmDropDownFLU316" hidden="1">
              <a:extLst>
                <a:ext uri="{63B3BB69-23CF-44E3-9099-C40C66FF867C}">
                  <a14:compatExt spid="_x0000_s1061949"/>
                </a:ext>
                <a:ext uri="{FF2B5EF4-FFF2-40B4-BE49-F238E27FC236}">
                  <a16:creationId xmlns:a16="http://schemas.microsoft.com/office/drawing/2014/main" id="{00000000-0008-0000-1900-00003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1061950" name="bpmDropDownFLU317" hidden="1">
              <a:extLst>
                <a:ext uri="{63B3BB69-23CF-44E3-9099-C40C66FF867C}">
                  <a14:compatExt spid="_x0000_s1061950"/>
                </a:ext>
                <a:ext uri="{FF2B5EF4-FFF2-40B4-BE49-F238E27FC236}">
                  <a16:creationId xmlns:a16="http://schemas.microsoft.com/office/drawing/2014/main" id="{00000000-0008-0000-1900-00003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1061951" name="bpmDropDownFLU318" hidden="1">
              <a:extLst>
                <a:ext uri="{63B3BB69-23CF-44E3-9099-C40C66FF867C}">
                  <a14:compatExt spid="_x0000_s1061951"/>
                </a:ext>
                <a:ext uri="{FF2B5EF4-FFF2-40B4-BE49-F238E27FC236}">
                  <a16:creationId xmlns:a16="http://schemas.microsoft.com/office/drawing/2014/main" id="{00000000-0008-0000-1900-00003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1061952" name="bpmDropDownFLU319" hidden="1">
              <a:extLst>
                <a:ext uri="{63B3BB69-23CF-44E3-9099-C40C66FF867C}">
                  <a14:compatExt spid="_x0000_s1061952"/>
                </a:ext>
                <a:ext uri="{FF2B5EF4-FFF2-40B4-BE49-F238E27FC236}">
                  <a16:creationId xmlns:a16="http://schemas.microsoft.com/office/drawing/2014/main" id="{00000000-0008-0000-1900-00004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7</xdr:col>
          <xdr:colOff>0</xdr:colOff>
          <xdr:row>55</xdr:row>
          <xdr:rowOff>0</xdr:rowOff>
        </xdr:to>
        <xdr:sp macro="" textlink="">
          <xdr:nvSpPr>
            <xdr:cNvPr id="1061953" name="bpmDropDownFLU320" hidden="1">
              <a:extLst>
                <a:ext uri="{63B3BB69-23CF-44E3-9099-C40C66FF867C}">
                  <a14:compatExt spid="_x0000_s1061953"/>
                </a:ext>
                <a:ext uri="{FF2B5EF4-FFF2-40B4-BE49-F238E27FC236}">
                  <a16:creationId xmlns:a16="http://schemas.microsoft.com/office/drawing/2014/main" id="{00000000-0008-0000-1900-00004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1061954" name="bpmDropDownFLU321" hidden="1">
              <a:extLst>
                <a:ext uri="{63B3BB69-23CF-44E3-9099-C40C66FF867C}">
                  <a14:compatExt spid="_x0000_s1061954"/>
                </a:ext>
                <a:ext uri="{FF2B5EF4-FFF2-40B4-BE49-F238E27FC236}">
                  <a16:creationId xmlns:a16="http://schemas.microsoft.com/office/drawing/2014/main" id="{00000000-0008-0000-1900-00004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1061955" name="bpmDropDownFLU322" hidden="1">
              <a:extLst>
                <a:ext uri="{63B3BB69-23CF-44E3-9099-C40C66FF867C}">
                  <a14:compatExt spid="_x0000_s1061955"/>
                </a:ext>
                <a:ext uri="{FF2B5EF4-FFF2-40B4-BE49-F238E27FC236}">
                  <a16:creationId xmlns:a16="http://schemas.microsoft.com/office/drawing/2014/main" id="{00000000-0008-0000-1900-00004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1061956" name="bpmDropDownFLU323" hidden="1">
              <a:extLst>
                <a:ext uri="{63B3BB69-23CF-44E3-9099-C40C66FF867C}">
                  <a14:compatExt spid="_x0000_s1061956"/>
                </a:ext>
                <a:ext uri="{FF2B5EF4-FFF2-40B4-BE49-F238E27FC236}">
                  <a16:creationId xmlns:a16="http://schemas.microsoft.com/office/drawing/2014/main" id="{00000000-0008-0000-1900-00004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1061957" name="bpmDropDownFLU324" hidden="1">
              <a:extLst>
                <a:ext uri="{63B3BB69-23CF-44E3-9099-C40C66FF867C}">
                  <a14:compatExt spid="_x0000_s1061957"/>
                </a:ext>
                <a:ext uri="{FF2B5EF4-FFF2-40B4-BE49-F238E27FC236}">
                  <a16:creationId xmlns:a16="http://schemas.microsoft.com/office/drawing/2014/main" id="{00000000-0008-0000-1900-00004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1061958" name="bpmDropDownFLU325" hidden="1">
              <a:extLst>
                <a:ext uri="{63B3BB69-23CF-44E3-9099-C40C66FF867C}">
                  <a14:compatExt spid="_x0000_s1061958"/>
                </a:ext>
                <a:ext uri="{FF2B5EF4-FFF2-40B4-BE49-F238E27FC236}">
                  <a16:creationId xmlns:a16="http://schemas.microsoft.com/office/drawing/2014/main" id="{00000000-0008-0000-1900-00004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1061959" name="bpmDropDownFLU326" hidden="1">
              <a:extLst>
                <a:ext uri="{63B3BB69-23CF-44E3-9099-C40C66FF867C}">
                  <a14:compatExt spid="_x0000_s1061959"/>
                </a:ext>
                <a:ext uri="{FF2B5EF4-FFF2-40B4-BE49-F238E27FC236}">
                  <a16:creationId xmlns:a16="http://schemas.microsoft.com/office/drawing/2014/main" id="{00000000-0008-0000-1900-00004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1061960" name="bpmDropDownFLU327" hidden="1">
              <a:extLst>
                <a:ext uri="{63B3BB69-23CF-44E3-9099-C40C66FF867C}">
                  <a14:compatExt spid="_x0000_s1061960"/>
                </a:ext>
                <a:ext uri="{FF2B5EF4-FFF2-40B4-BE49-F238E27FC236}">
                  <a16:creationId xmlns:a16="http://schemas.microsoft.com/office/drawing/2014/main" id="{00000000-0008-0000-1900-00004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1061962" name="bpmDropDownFLU329" hidden="1">
              <a:extLst>
                <a:ext uri="{63B3BB69-23CF-44E3-9099-C40C66FF867C}">
                  <a14:compatExt spid="_x0000_s1061962"/>
                </a:ext>
                <a:ext uri="{FF2B5EF4-FFF2-40B4-BE49-F238E27FC236}">
                  <a16:creationId xmlns:a16="http://schemas.microsoft.com/office/drawing/2014/main" id="{00000000-0008-0000-1900-00004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1061963" name="bpmDropDownFLU330" hidden="1">
              <a:extLst>
                <a:ext uri="{63B3BB69-23CF-44E3-9099-C40C66FF867C}">
                  <a14:compatExt spid="_x0000_s1061963"/>
                </a:ext>
                <a:ext uri="{FF2B5EF4-FFF2-40B4-BE49-F238E27FC236}">
                  <a16:creationId xmlns:a16="http://schemas.microsoft.com/office/drawing/2014/main" id="{00000000-0008-0000-1900-00004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1061964" name="bpmDropDownFLU331" hidden="1">
              <a:extLst>
                <a:ext uri="{63B3BB69-23CF-44E3-9099-C40C66FF867C}">
                  <a14:compatExt spid="_x0000_s1061964"/>
                </a:ext>
                <a:ext uri="{FF2B5EF4-FFF2-40B4-BE49-F238E27FC236}">
                  <a16:creationId xmlns:a16="http://schemas.microsoft.com/office/drawing/2014/main" id="{00000000-0008-0000-1900-00004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1061965" name="bpmDropDownFLU332" hidden="1">
              <a:extLst>
                <a:ext uri="{63B3BB69-23CF-44E3-9099-C40C66FF867C}">
                  <a14:compatExt spid="_x0000_s1061965"/>
                </a:ext>
                <a:ext uri="{FF2B5EF4-FFF2-40B4-BE49-F238E27FC236}">
                  <a16:creationId xmlns:a16="http://schemas.microsoft.com/office/drawing/2014/main" id="{00000000-0008-0000-1900-00004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7</xdr:col>
          <xdr:colOff>0</xdr:colOff>
          <xdr:row>67</xdr:row>
          <xdr:rowOff>0</xdr:rowOff>
        </xdr:to>
        <xdr:sp macro="" textlink="">
          <xdr:nvSpPr>
            <xdr:cNvPr id="1061966" name="bpmDropDownFLU333" hidden="1">
              <a:extLst>
                <a:ext uri="{63B3BB69-23CF-44E3-9099-C40C66FF867C}">
                  <a14:compatExt spid="_x0000_s1061966"/>
                </a:ext>
                <a:ext uri="{FF2B5EF4-FFF2-40B4-BE49-F238E27FC236}">
                  <a16:creationId xmlns:a16="http://schemas.microsoft.com/office/drawing/2014/main" id="{00000000-0008-0000-1900-00004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7</xdr:col>
          <xdr:colOff>0</xdr:colOff>
          <xdr:row>68</xdr:row>
          <xdr:rowOff>0</xdr:rowOff>
        </xdr:to>
        <xdr:sp macro="" textlink="">
          <xdr:nvSpPr>
            <xdr:cNvPr id="1061967" name="bpmDropDownFLU334" hidden="1">
              <a:extLst>
                <a:ext uri="{63B3BB69-23CF-44E3-9099-C40C66FF867C}">
                  <a14:compatExt spid="_x0000_s1061967"/>
                </a:ext>
                <a:ext uri="{FF2B5EF4-FFF2-40B4-BE49-F238E27FC236}">
                  <a16:creationId xmlns:a16="http://schemas.microsoft.com/office/drawing/2014/main" id="{00000000-0008-0000-1900-00004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7</xdr:col>
          <xdr:colOff>0</xdr:colOff>
          <xdr:row>69</xdr:row>
          <xdr:rowOff>0</xdr:rowOff>
        </xdr:to>
        <xdr:sp macro="" textlink="">
          <xdr:nvSpPr>
            <xdr:cNvPr id="1061968" name="bpmDropDownFLU335" hidden="1">
              <a:extLst>
                <a:ext uri="{63B3BB69-23CF-44E3-9099-C40C66FF867C}">
                  <a14:compatExt spid="_x0000_s1061968"/>
                </a:ext>
                <a:ext uri="{FF2B5EF4-FFF2-40B4-BE49-F238E27FC236}">
                  <a16:creationId xmlns:a16="http://schemas.microsoft.com/office/drawing/2014/main" id="{00000000-0008-0000-1900-00005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7</xdr:col>
          <xdr:colOff>0</xdr:colOff>
          <xdr:row>74</xdr:row>
          <xdr:rowOff>0</xdr:rowOff>
        </xdr:to>
        <xdr:sp macro="" textlink="">
          <xdr:nvSpPr>
            <xdr:cNvPr id="1061969" name="bpmDropDownFLU336" hidden="1">
              <a:extLst>
                <a:ext uri="{63B3BB69-23CF-44E3-9099-C40C66FF867C}">
                  <a14:compatExt spid="_x0000_s1061969"/>
                </a:ext>
                <a:ext uri="{FF2B5EF4-FFF2-40B4-BE49-F238E27FC236}">
                  <a16:creationId xmlns:a16="http://schemas.microsoft.com/office/drawing/2014/main" id="{00000000-0008-0000-1900-00005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7</xdr:col>
          <xdr:colOff>0</xdr:colOff>
          <xdr:row>75</xdr:row>
          <xdr:rowOff>0</xdr:rowOff>
        </xdr:to>
        <xdr:sp macro="" textlink="">
          <xdr:nvSpPr>
            <xdr:cNvPr id="1061970" name="bpmDropDownFLU337" hidden="1">
              <a:extLst>
                <a:ext uri="{63B3BB69-23CF-44E3-9099-C40C66FF867C}">
                  <a14:compatExt spid="_x0000_s1061970"/>
                </a:ext>
                <a:ext uri="{FF2B5EF4-FFF2-40B4-BE49-F238E27FC236}">
                  <a16:creationId xmlns:a16="http://schemas.microsoft.com/office/drawing/2014/main" id="{00000000-0008-0000-1900-00005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7</xdr:col>
          <xdr:colOff>0</xdr:colOff>
          <xdr:row>76</xdr:row>
          <xdr:rowOff>0</xdr:rowOff>
        </xdr:to>
        <xdr:sp macro="" textlink="">
          <xdr:nvSpPr>
            <xdr:cNvPr id="1061971" name="bpmDropDownFLU338" hidden="1">
              <a:extLst>
                <a:ext uri="{63B3BB69-23CF-44E3-9099-C40C66FF867C}">
                  <a14:compatExt spid="_x0000_s1061971"/>
                </a:ext>
                <a:ext uri="{FF2B5EF4-FFF2-40B4-BE49-F238E27FC236}">
                  <a16:creationId xmlns:a16="http://schemas.microsoft.com/office/drawing/2014/main" id="{00000000-0008-0000-1900-00005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1061972" name="bpmDropDownFLU339" hidden="1">
              <a:extLst>
                <a:ext uri="{63B3BB69-23CF-44E3-9099-C40C66FF867C}">
                  <a14:compatExt spid="_x0000_s1061972"/>
                </a:ext>
                <a:ext uri="{FF2B5EF4-FFF2-40B4-BE49-F238E27FC236}">
                  <a16:creationId xmlns:a16="http://schemas.microsoft.com/office/drawing/2014/main" id="{00000000-0008-0000-1900-00005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1061973" name="bpmDropDownFLU340" hidden="1">
              <a:extLst>
                <a:ext uri="{63B3BB69-23CF-44E3-9099-C40C66FF867C}">
                  <a14:compatExt spid="_x0000_s1061973"/>
                </a:ext>
                <a:ext uri="{FF2B5EF4-FFF2-40B4-BE49-F238E27FC236}">
                  <a16:creationId xmlns:a16="http://schemas.microsoft.com/office/drawing/2014/main" id="{00000000-0008-0000-1900-00005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1061974" name="bpmDropDownFLU341" hidden="1">
              <a:extLst>
                <a:ext uri="{63B3BB69-23CF-44E3-9099-C40C66FF867C}">
                  <a14:compatExt spid="_x0000_s1061974"/>
                </a:ext>
                <a:ext uri="{FF2B5EF4-FFF2-40B4-BE49-F238E27FC236}">
                  <a16:creationId xmlns:a16="http://schemas.microsoft.com/office/drawing/2014/main" id="{00000000-0008-0000-1900-00005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1061975" name="bpmDropDownFLU342" hidden="1">
              <a:extLst>
                <a:ext uri="{63B3BB69-23CF-44E3-9099-C40C66FF867C}">
                  <a14:compatExt spid="_x0000_s1061975"/>
                </a:ext>
                <a:ext uri="{FF2B5EF4-FFF2-40B4-BE49-F238E27FC236}">
                  <a16:creationId xmlns:a16="http://schemas.microsoft.com/office/drawing/2014/main" id="{00000000-0008-0000-1900-00005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1061976" name="bpmDropDownFLU361" hidden="1">
              <a:extLst>
                <a:ext uri="{63B3BB69-23CF-44E3-9099-C40C66FF867C}">
                  <a14:compatExt spid="_x0000_s1061976"/>
                </a:ext>
                <a:ext uri="{FF2B5EF4-FFF2-40B4-BE49-F238E27FC236}">
                  <a16:creationId xmlns:a16="http://schemas.microsoft.com/office/drawing/2014/main" id="{00000000-0008-0000-1900-00005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1061978" name="bpmDropDownFLU363" hidden="1">
              <a:extLst>
                <a:ext uri="{63B3BB69-23CF-44E3-9099-C40C66FF867C}">
                  <a14:compatExt spid="_x0000_s1061978"/>
                </a:ext>
                <a:ext uri="{FF2B5EF4-FFF2-40B4-BE49-F238E27FC236}">
                  <a16:creationId xmlns:a16="http://schemas.microsoft.com/office/drawing/2014/main" id="{00000000-0008-0000-1900-00005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1061979" name="bpmDropDownFLU364" hidden="1">
              <a:extLst>
                <a:ext uri="{63B3BB69-23CF-44E3-9099-C40C66FF867C}">
                  <a14:compatExt spid="_x0000_s1061979"/>
                </a:ext>
                <a:ext uri="{FF2B5EF4-FFF2-40B4-BE49-F238E27FC236}">
                  <a16:creationId xmlns:a16="http://schemas.microsoft.com/office/drawing/2014/main" id="{00000000-0008-0000-1900-00005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7</xdr:col>
          <xdr:colOff>0</xdr:colOff>
          <xdr:row>84</xdr:row>
          <xdr:rowOff>0</xdr:rowOff>
        </xdr:to>
        <xdr:sp macro="" textlink="">
          <xdr:nvSpPr>
            <xdr:cNvPr id="1061980" name="bpmDropDownFLU384" hidden="1">
              <a:extLst>
                <a:ext uri="{63B3BB69-23CF-44E3-9099-C40C66FF867C}">
                  <a14:compatExt spid="_x0000_s1061980"/>
                </a:ext>
                <a:ext uri="{FF2B5EF4-FFF2-40B4-BE49-F238E27FC236}">
                  <a16:creationId xmlns:a16="http://schemas.microsoft.com/office/drawing/2014/main" id="{00000000-0008-0000-1900-00005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1061981" name="bpmDropDownFLU388" hidden="1">
              <a:extLst>
                <a:ext uri="{63B3BB69-23CF-44E3-9099-C40C66FF867C}">
                  <a14:compatExt spid="_x0000_s1061981"/>
                </a:ext>
                <a:ext uri="{FF2B5EF4-FFF2-40B4-BE49-F238E27FC236}">
                  <a16:creationId xmlns:a16="http://schemas.microsoft.com/office/drawing/2014/main" id="{00000000-0008-0000-1900-00005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7</xdr:col>
          <xdr:colOff>0</xdr:colOff>
          <xdr:row>86</xdr:row>
          <xdr:rowOff>0</xdr:rowOff>
        </xdr:to>
        <xdr:sp macro="" textlink="">
          <xdr:nvSpPr>
            <xdr:cNvPr id="1061982" name="bpmDropDownFLU389" hidden="1">
              <a:extLst>
                <a:ext uri="{63B3BB69-23CF-44E3-9099-C40C66FF867C}">
                  <a14:compatExt spid="_x0000_s1061982"/>
                </a:ext>
                <a:ext uri="{FF2B5EF4-FFF2-40B4-BE49-F238E27FC236}">
                  <a16:creationId xmlns:a16="http://schemas.microsoft.com/office/drawing/2014/main" id="{00000000-0008-0000-1900-00005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1061983" name="bpmDropDownFLU397" hidden="1">
              <a:extLst>
                <a:ext uri="{63B3BB69-23CF-44E3-9099-C40C66FF867C}">
                  <a14:compatExt spid="_x0000_s1061983"/>
                </a:ext>
                <a:ext uri="{FF2B5EF4-FFF2-40B4-BE49-F238E27FC236}">
                  <a16:creationId xmlns:a16="http://schemas.microsoft.com/office/drawing/2014/main" id="{00000000-0008-0000-1900-00005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1061984" name="bpmDropDownFLU398" hidden="1">
              <a:extLst>
                <a:ext uri="{63B3BB69-23CF-44E3-9099-C40C66FF867C}">
                  <a14:compatExt spid="_x0000_s1061984"/>
                </a:ext>
                <a:ext uri="{FF2B5EF4-FFF2-40B4-BE49-F238E27FC236}">
                  <a16:creationId xmlns:a16="http://schemas.microsoft.com/office/drawing/2014/main" id="{00000000-0008-0000-1900-00006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0</xdr:rowOff>
        </xdr:from>
        <xdr:to>
          <xdr:col>7</xdr:col>
          <xdr:colOff>0</xdr:colOff>
          <xdr:row>187</xdr:row>
          <xdr:rowOff>0</xdr:rowOff>
        </xdr:to>
        <xdr:sp macro="" textlink="">
          <xdr:nvSpPr>
            <xdr:cNvPr id="1061985" name="bpmDropDownFLU417" hidden="1">
              <a:extLst>
                <a:ext uri="{63B3BB69-23CF-44E3-9099-C40C66FF867C}">
                  <a14:compatExt spid="_x0000_s1061985"/>
                </a:ext>
                <a:ext uri="{FF2B5EF4-FFF2-40B4-BE49-F238E27FC236}">
                  <a16:creationId xmlns:a16="http://schemas.microsoft.com/office/drawing/2014/main" id="{00000000-0008-0000-1900-00006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7</xdr:col>
          <xdr:colOff>0</xdr:colOff>
          <xdr:row>188</xdr:row>
          <xdr:rowOff>0</xdr:rowOff>
        </xdr:to>
        <xdr:sp macro="" textlink="">
          <xdr:nvSpPr>
            <xdr:cNvPr id="1061986" name="bpmDropDownFLU429" hidden="1">
              <a:extLst>
                <a:ext uri="{63B3BB69-23CF-44E3-9099-C40C66FF867C}">
                  <a14:compatExt spid="_x0000_s1061986"/>
                </a:ext>
                <a:ext uri="{FF2B5EF4-FFF2-40B4-BE49-F238E27FC236}">
                  <a16:creationId xmlns:a16="http://schemas.microsoft.com/office/drawing/2014/main" id="{00000000-0008-0000-1900-00006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0</xdr:rowOff>
        </xdr:from>
        <xdr:to>
          <xdr:col>7</xdr:col>
          <xdr:colOff>0</xdr:colOff>
          <xdr:row>189</xdr:row>
          <xdr:rowOff>0</xdr:rowOff>
        </xdr:to>
        <xdr:sp macro="" textlink="">
          <xdr:nvSpPr>
            <xdr:cNvPr id="1061987" name="bpmDropDownFLU430" hidden="1">
              <a:extLst>
                <a:ext uri="{63B3BB69-23CF-44E3-9099-C40C66FF867C}">
                  <a14:compatExt spid="_x0000_s1061987"/>
                </a:ext>
                <a:ext uri="{FF2B5EF4-FFF2-40B4-BE49-F238E27FC236}">
                  <a16:creationId xmlns:a16="http://schemas.microsoft.com/office/drawing/2014/main" id="{00000000-0008-0000-1900-00006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0</xdr:rowOff>
        </xdr:from>
        <xdr:to>
          <xdr:col>7</xdr:col>
          <xdr:colOff>0</xdr:colOff>
          <xdr:row>190</xdr:row>
          <xdr:rowOff>0</xdr:rowOff>
        </xdr:to>
        <xdr:sp macro="" textlink="">
          <xdr:nvSpPr>
            <xdr:cNvPr id="1061988" name="bpmDropDownFLU431" hidden="1">
              <a:extLst>
                <a:ext uri="{63B3BB69-23CF-44E3-9099-C40C66FF867C}">
                  <a14:compatExt spid="_x0000_s1061988"/>
                </a:ext>
                <a:ext uri="{FF2B5EF4-FFF2-40B4-BE49-F238E27FC236}">
                  <a16:creationId xmlns:a16="http://schemas.microsoft.com/office/drawing/2014/main" id="{00000000-0008-0000-1900-00006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7</xdr:col>
          <xdr:colOff>0</xdr:colOff>
          <xdr:row>191</xdr:row>
          <xdr:rowOff>0</xdr:rowOff>
        </xdr:to>
        <xdr:sp macro="" textlink="">
          <xdr:nvSpPr>
            <xdr:cNvPr id="1061989" name="bpmDropDownFLU432" hidden="1">
              <a:extLst>
                <a:ext uri="{63B3BB69-23CF-44E3-9099-C40C66FF867C}">
                  <a14:compatExt spid="_x0000_s1061989"/>
                </a:ext>
                <a:ext uri="{FF2B5EF4-FFF2-40B4-BE49-F238E27FC236}">
                  <a16:creationId xmlns:a16="http://schemas.microsoft.com/office/drawing/2014/main" id="{00000000-0008-0000-1900-00006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191</xdr:row>
          <xdr:rowOff>0</xdr:rowOff>
        </xdr:from>
        <xdr:to>
          <xdr:col>7</xdr:col>
          <xdr:colOff>0</xdr:colOff>
          <xdr:row>192</xdr:row>
          <xdr:rowOff>0</xdr:rowOff>
        </xdr:to>
        <xdr:sp macro="" textlink="">
          <xdr:nvSpPr>
            <xdr:cNvPr id="1061990" name="bpmDropDownFLU433" hidden="1">
              <a:extLst>
                <a:ext uri="{63B3BB69-23CF-44E3-9099-C40C66FF867C}">
                  <a14:compatExt spid="_x0000_s1061990"/>
                </a:ext>
                <a:ext uri="{FF2B5EF4-FFF2-40B4-BE49-F238E27FC236}">
                  <a16:creationId xmlns:a16="http://schemas.microsoft.com/office/drawing/2014/main" id="{00000000-0008-0000-1900-00006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7</xdr:col>
          <xdr:colOff>0</xdr:colOff>
          <xdr:row>193</xdr:row>
          <xdr:rowOff>0</xdr:rowOff>
        </xdr:to>
        <xdr:sp macro="" textlink="">
          <xdr:nvSpPr>
            <xdr:cNvPr id="1061991" name="bpmDropDownFLU434" hidden="1">
              <a:extLst>
                <a:ext uri="{63B3BB69-23CF-44E3-9099-C40C66FF867C}">
                  <a14:compatExt spid="_x0000_s1061991"/>
                </a:ext>
                <a:ext uri="{FF2B5EF4-FFF2-40B4-BE49-F238E27FC236}">
                  <a16:creationId xmlns:a16="http://schemas.microsoft.com/office/drawing/2014/main" id="{00000000-0008-0000-1900-00006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7</xdr:col>
          <xdr:colOff>0</xdr:colOff>
          <xdr:row>194</xdr:row>
          <xdr:rowOff>0</xdr:rowOff>
        </xdr:to>
        <xdr:sp macro="" textlink="">
          <xdr:nvSpPr>
            <xdr:cNvPr id="1061992" name="bpmDropDownFLU435" hidden="1">
              <a:extLst>
                <a:ext uri="{63B3BB69-23CF-44E3-9099-C40C66FF867C}">
                  <a14:compatExt spid="_x0000_s1061992"/>
                </a:ext>
                <a:ext uri="{FF2B5EF4-FFF2-40B4-BE49-F238E27FC236}">
                  <a16:creationId xmlns:a16="http://schemas.microsoft.com/office/drawing/2014/main" id="{00000000-0008-0000-1900-00006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7</xdr:col>
          <xdr:colOff>0</xdr:colOff>
          <xdr:row>195</xdr:row>
          <xdr:rowOff>0</xdr:rowOff>
        </xdr:to>
        <xdr:sp macro="" textlink="">
          <xdr:nvSpPr>
            <xdr:cNvPr id="1061994" name="bpmDropDownFLU437" hidden="1">
              <a:extLst>
                <a:ext uri="{63B3BB69-23CF-44E3-9099-C40C66FF867C}">
                  <a14:compatExt spid="_x0000_s1061994"/>
                </a:ext>
                <a:ext uri="{FF2B5EF4-FFF2-40B4-BE49-F238E27FC236}">
                  <a16:creationId xmlns:a16="http://schemas.microsoft.com/office/drawing/2014/main" id="{00000000-0008-0000-1900-00006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7</xdr:col>
          <xdr:colOff>0</xdr:colOff>
          <xdr:row>196</xdr:row>
          <xdr:rowOff>0</xdr:rowOff>
        </xdr:to>
        <xdr:sp macro="" textlink="">
          <xdr:nvSpPr>
            <xdr:cNvPr id="1061995" name="bpmDropDownFLU438" hidden="1">
              <a:extLst>
                <a:ext uri="{63B3BB69-23CF-44E3-9099-C40C66FF867C}">
                  <a14:compatExt spid="_x0000_s1061995"/>
                </a:ext>
                <a:ext uri="{FF2B5EF4-FFF2-40B4-BE49-F238E27FC236}">
                  <a16:creationId xmlns:a16="http://schemas.microsoft.com/office/drawing/2014/main" id="{00000000-0008-0000-1900-00006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7</xdr:col>
          <xdr:colOff>0</xdr:colOff>
          <xdr:row>197</xdr:row>
          <xdr:rowOff>0</xdr:rowOff>
        </xdr:to>
        <xdr:sp macro="" textlink="">
          <xdr:nvSpPr>
            <xdr:cNvPr id="1061996" name="bpmDropDownFLU439" hidden="1">
              <a:extLst>
                <a:ext uri="{63B3BB69-23CF-44E3-9099-C40C66FF867C}">
                  <a14:compatExt spid="_x0000_s1061996"/>
                </a:ext>
                <a:ext uri="{FF2B5EF4-FFF2-40B4-BE49-F238E27FC236}">
                  <a16:creationId xmlns:a16="http://schemas.microsoft.com/office/drawing/2014/main" id="{00000000-0008-0000-1900-00006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0</xdr:rowOff>
        </xdr:from>
        <xdr:to>
          <xdr:col>7</xdr:col>
          <xdr:colOff>0</xdr:colOff>
          <xdr:row>198</xdr:row>
          <xdr:rowOff>0</xdr:rowOff>
        </xdr:to>
        <xdr:sp macro="" textlink="">
          <xdr:nvSpPr>
            <xdr:cNvPr id="1061997" name="bpmDropDownFLU440" hidden="1">
              <a:extLst>
                <a:ext uri="{63B3BB69-23CF-44E3-9099-C40C66FF867C}">
                  <a14:compatExt spid="_x0000_s1061997"/>
                </a:ext>
                <a:ext uri="{FF2B5EF4-FFF2-40B4-BE49-F238E27FC236}">
                  <a16:creationId xmlns:a16="http://schemas.microsoft.com/office/drawing/2014/main" id="{00000000-0008-0000-1900-00006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198</xdr:row>
          <xdr:rowOff>0</xdr:rowOff>
        </xdr:from>
        <xdr:to>
          <xdr:col>7</xdr:col>
          <xdr:colOff>0</xdr:colOff>
          <xdr:row>199</xdr:row>
          <xdr:rowOff>0</xdr:rowOff>
        </xdr:to>
        <xdr:sp macro="" textlink="">
          <xdr:nvSpPr>
            <xdr:cNvPr id="1061998" name="bpmDropDownFLU441" hidden="1">
              <a:extLst>
                <a:ext uri="{63B3BB69-23CF-44E3-9099-C40C66FF867C}">
                  <a14:compatExt spid="_x0000_s1061998"/>
                </a:ext>
                <a:ext uri="{FF2B5EF4-FFF2-40B4-BE49-F238E27FC236}">
                  <a16:creationId xmlns:a16="http://schemas.microsoft.com/office/drawing/2014/main" id="{00000000-0008-0000-1900-00006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7</xdr:col>
          <xdr:colOff>0</xdr:colOff>
          <xdr:row>200</xdr:row>
          <xdr:rowOff>0</xdr:rowOff>
        </xdr:to>
        <xdr:sp macro="" textlink="">
          <xdr:nvSpPr>
            <xdr:cNvPr id="1061999" name="bpmDropDownFLU442" hidden="1">
              <a:extLst>
                <a:ext uri="{63B3BB69-23CF-44E3-9099-C40C66FF867C}">
                  <a14:compatExt spid="_x0000_s1061999"/>
                </a:ext>
                <a:ext uri="{FF2B5EF4-FFF2-40B4-BE49-F238E27FC236}">
                  <a16:creationId xmlns:a16="http://schemas.microsoft.com/office/drawing/2014/main" id="{00000000-0008-0000-1900-00006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7</xdr:col>
          <xdr:colOff>0</xdr:colOff>
          <xdr:row>201</xdr:row>
          <xdr:rowOff>0</xdr:rowOff>
        </xdr:to>
        <xdr:sp macro="" textlink="">
          <xdr:nvSpPr>
            <xdr:cNvPr id="1062000" name="bpmDropDownFLU443" hidden="1">
              <a:extLst>
                <a:ext uri="{63B3BB69-23CF-44E3-9099-C40C66FF867C}">
                  <a14:compatExt spid="_x0000_s1062000"/>
                </a:ext>
                <a:ext uri="{FF2B5EF4-FFF2-40B4-BE49-F238E27FC236}">
                  <a16:creationId xmlns:a16="http://schemas.microsoft.com/office/drawing/2014/main" id="{00000000-0008-0000-1900-00007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186</xdr:row>
          <xdr:rowOff>0</xdr:rowOff>
        </xdr:from>
        <xdr:to>
          <xdr:col>9</xdr:col>
          <xdr:colOff>0</xdr:colOff>
          <xdr:row>187</xdr:row>
          <xdr:rowOff>0</xdr:rowOff>
        </xdr:to>
        <xdr:sp macro="" textlink="">
          <xdr:nvSpPr>
            <xdr:cNvPr id="1062001" name="bpmDropDownFLU444" hidden="1">
              <a:extLst>
                <a:ext uri="{63B3BB69-23CF-44E3-9099-C40C66FF867C}">
                  <a14:compatExt spid="_x0000_s1062001"/>
                </a:ext>
                <a:ext uri="{FF2B5EF4-FFF2-40B4-BE49-F238E27FC236}">
                  <a16:creationId xmlns:a16="http://schemas.microsoft.com/office/drawing/2014/main" id="{00000000-0008-0000-1900-00007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9</xdr:col>
          <xdr:colOff>0</xdr:colOff>
          <xdr:row>188</xdr:row>
          <xdr:rowOff>0</xdr:rowOff>
        </xdr:to>
        <xdr:sp macro="" textlink="">
          <xdr:nvSpPr>
            <xdr:cNvPr id="1062002" name="bpmDropDownFLU445" hidden="1">
              <a:extLst>
                <a:ext uri="{63B3BB69-23CF-44E3-9099-C40C66FF867C}">
                  <a14:compatExt spid="_x0000_s1062002"/>
                </a:ext>
                <a:ext uri="{FF2B5EF4-FFF2-40B4-BE49-F238E27FC236}">
                  <a16:creationId xmlns:a16="http://schemas.microsoft.com/office/drawing/2014/main" id="{00000000-0008-0000-1900-00007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188</xdr:row>
          <xdr:rowOff>0</xdr:rowOff>
        </xdr:from>
        <xdr:to>
          <xdr:col>9</xdr:col>
          <xdr:colOff>0</xdr:colOff>
          <xdr:row>189</xdr:row>
          <xdr:rowOff>0</xdr:rowOff>
        </xdr:to>
        <xdr:sp macro="" textlink="">
          <xdr:nvSpPr>
            <xdr:cNvPr id="1062003" name="bpmDropDownFLU446" hidden="1">
              <a:extLst>
                <a:ext uri="{63B3BB69-23CF-44E3-9099-C40C66FF867C}">
                  <a14:compatExt spid="_x0000_s1062003"/>
                </a:ext>
                <a:ext uri="{FF2B5EF4-FFF2-40B4-BE49-F238E27FC236}">
                  <a16:creationId xmlns:a16="http://schemas.microsoft.com/office/drawing/2014/main" id="{00000000-0008-0000-1900-00007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189</xdr:row>
          <xdr:rowOff>0</xdr:rowOff>
        </xdr:from>
        <xdr:to>
          <xdr:col>9</xdr:col>
          <xdr:colOff>0</xdr:colOff>
          <xdr:row>190</xdr:row>
          <xdr:rowOff>0</xdr:rowOff>
        </xdr:to>
        <xdr:sp macro="" textlink="">
          <xdr:nvSpPr>
            <xdr:cNvPr id="1062004" name="bpmDropDownFLU447" hidden="1">
              <a:extLst>
                <a:ext uri="{63B3BB69-23CF-44E3-9099-C40C66FF867C}">
                  <a14:compatExt spid="_x0000_s1062004"/>
                </a:ext>
                <a:ext uri="{FF2B5EF4-FFF2-40B4-BE49-F238E27FC236}">
                  <a16:creationId xmlns:a16="http://schemas.microsoft.com/office/drawing/2014/main" id="{00000000-0008-0000-1900-00007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9</xdr:col>
          <xdr:colOff>0</xdr:colOff>
          <xdr:row>191</xdr:row>
          <xdr:rowOff>0</xdr:rowOff>
        </xdr:to>
        <xdr:sp macro="" textlink="">
          <xdr:nvSpPr>
            <xdr:cNvPr id="1062005" name="bpmDropDownFLU448" hidden="1">
              <a:extLst>
                <a:ext uri="{63B3BB69-23CF-44E3-9099-C40C66FF867C}">
                  <a14:compatExt spid="_x0000_s1062005"/>
                </a:ext>
                <a:ext uri="{FF2B5EF4-FFF2-40B4-BE49-F238E27FC236}">
                  <a16:creationId xmlns:a16="http://schemas.microsoft.com/office/drawing/2014/main" id="{00000000-0008-0000-1900-00007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191</xdr:row>
          <xdr:rowOff>0</xdr:rowOff>
        </xdr:from>
        <xdr:to>
          <xdr:col>9</xdr:col>
          <xdr:colOff>0</xdr:colOff>
          <xdr:row>192</xdr:row>
          <xdr:rowOff>0</xdr:rowOff>
        </xdr:to>
        <xdr:sp macro="" textlink="">
          <xdr:nvSpPr>
            <xdr:cNvPr id="1062006" name="bpmDropDownFLU449" hidden="1">
              <a:extLst>
                <a:ext uri="{63B3BB69-23CF-44E3-9099-C40C66FF867C}">
                  <a14:compatExt spid="_x0000_s1062006"/>
                </a:ext>
                <a:ext uri="{FF2B5EF4-FFF2-40B4-BE49-F238E27FC236}">
                  <a16:creationId xmlns:a16="http://schemas.microsoft.com/office/drawing/2014/main" id="{00000000-0008-0000-1900-00007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192</xdr:row>
          <xdr:rowOff>0</xdr:rowOff>
        </xdr:from>
        <xdr:to>
          <xdr:col>9</xdr:col>
          <xdr:colOff>0</xdr:colOff>
          <xdr:row>193</xdr:row>
          <xdr:rowOff>0</xdr:rowOff>
        </xdr:to>
        <xdr:sp macro="" textlink="">
          <xdr:nvSpPr>
            <xdr:cNvPr id="1062007" name="bpmDropDownFLU450" hidden="1">
              <a:extLst>
                <a:ext uri="{63B3BB69-23CF-44E3-9099-C40C66FF867C}">
                  <a14:compatExt spid="_x0000_s1062007"/>
                </a:ext>
                <a:ext uri="{FF2B5EF4-FFF2-40B4-BE49-F238E27FC236}">
                  <a16:creationId xmlns:a16="http://schemas.microsoft.com/office/drawing/2014/main" id="{00000000-0008-0000-1900-00007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9</xdr:col>
          <xdr:colOff>0</xdr:colOff>
          <xdr:row>194</xdr:row>
          <xdr:rowOff>0</xdr:rowOff>
        </xdr:to>
        <xdr:sp macro="" textlink="">
          <xdr:nvSpPr>
            <xdr:cNvPr id="1062008" name="bpmDropDownFLU451" hidden="1">
              <a:extLst>
                <a:ext uri="{63B3BB69-23CF-44E3-9099-C40C66FF867C}">
                  <a14:compatExt spid="_x0000_s1062008"/>
                </a:ext>
                <a:ext uri="{FF2B5EF4-FFF2-40B4-BE49-F238E27FC236}">
                  <a16:creationId xmlns:a16="http://schemas.microsoft.com/office/drawing/2014/main" id="{00000000-0008-0000-1900-00007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194</xdr:row>
          <xdr:rowOff>0</xdr:rowOff>
        </xdr:from>
        <xdr:to>
          <xdr:col>9</xdr:col>
          <xdr:colOff>0</xdr:colOff>
          <xdr:row>195</xdr:row>
          <xdr:rowOff>0</xdr:rowOff>
        </xdr:to>
        <xdr:sp macro="" textlink="">
          <xdr:nvSpPr>
            <xdr:cNvPr id="1062010" name="bpmDropDownFLU453" hidden="1">
              <a:extLst>
                <a:ext uri="{63B3BB69-23CF-44E3-9099-C40C66FF867C}">
                  <a14:compatExt spid="_x0000_s1062010"/>
                </a:ext>
                <a:ext uri="{FF2B5EF4-FFF2-40B4-BE49-F238E27FC236}">
                  <a16:creationId xmlns:a16="http://schemas.microsoft.com/office/drawing/2014/main" id="{00000000-0008-0000-1900-00007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195</xdr:row>
          <xdr:rowOff>0</xdr:rowOff>
        </xdr:from>
        <xdr:to>
          <xdr:col>9</xdr:col>
          <xdr:colOff>0</xdr:colOff>
          <xdr:row>196</xdr:row>
          <xdr:rowOff>0</xdr:rowOff>
        </xdr:to>
        <xdr:sp macro="" textlink="">
          <xdr:nvSpPr>
            <xdr:cNvPr id="1062011" name="bpmDropDownFLU454" hidden="1">
              <a:extLst>
                <a:ext uri="{63B3BB69-23CF-44E3-9099-C40C66FF867C}">
                  <a14:compatExt spid="_x0000_s1062011"/>
                </a:ext>
                <a:ext uri="{FF2B5EF4-FFF2-40B4-BE49-F238E27FC236}">
                  <a16:creationId xmlns:a16="http://schemas.microsoft.com/office/drawing/2014/main" id="{00000000-0008-0000-1900-00007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196</xdr:row>
          <xdr:rowOff>0</xdr:rowOff>
        </xdr:from>
        <xdr:to>
          <xdr:col>9</xdr:col>
          <xdr:colOff>0</xdr:colOff>
          <xdr:row>197</xdr:row>
          <xdr:rowOff>0</xdr:rowOff>
        </xdr:to>
        <xdr:sp macro="" textlink="">
          <xdr:nvSpPr>
            <xdr:cNvPr id="1062012" name="bpmDropDownFLU455" hidden="1">
              <a:extLst>
                <a:ext uri="{63B3BB69-23CF-44E3-9099-C40C66FF867C}">
                  <a14:compatExt spid="_x0000_s1062012"/>
                </a:ext>
                <a:ext uri="{FF2B5EF4-FFF2-40B4-BE49-F238E27FC236}">
                  <a16:creationId xmlns:a16="http://schemas.microsoft.com/office/drawing/2014/main" id="{00000000-0008-0000-1900-00007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197</xdr:row>
          <xdr:rowOff>0</xdr:rowOff>
        </xdr:from>
        <xdr:to>
          <xdr:col>9</xdr:col>
          <xdr:colOff>0</xdr:colOff>
          <xdr:row>198</xdr:row>
          <xdr:rowOff>0</xdr:rowOff>
        </xdr:to>
        <xdr:sp macro="" textlink="">
          <xdr:nvSpPr>
            <xdr:cNvPr id="1062013" name="bpmDropDownFLU456" hidden="1">
              <a:extLst>
                <a:ext uri="{63B3BB69-23CF-44E3-9099-C40C66FF867C}">
                  <a14:compatExt spid="_x0000_s1062013"/>
                </a:ext>
                <a:ext uri="{FF2B5EF4-FFF2-40B4-BE49-F238E27FC236}">
                  <a16:creationId xmlns:a16="http://schemas.microsoft.com/office/drawing/2014/main" id="{00000000-0008-0000-1900-00007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198</xdr:row>
          <xdr:rowOff>0</xdr:rowOff>
        </xdr:from>
        <xdr:to>
          <xdr:col>9</xdr:col>
          <xdr:colOff>0</xdr:colOff>
          <xdr:row>199</xdr:row>
          <xdr:rowOff>0</xdr:rowOff>
        </xdr:to>
        <xdr:sp macro="" textlink="">
          <xdr:nvSpPr>
            <xdr:cNvPr id="1062014" name="bpmDropDownFLU457" hidden="1">
              <a:extLst>
                <a:ext uri="{63B3BB69-23CF-44E3-9099-C40C66FF867C}">
                  <a14:compatExt spid="_x0000_s1062014"/>
                </a:ext>
                <a:ext uri="{FF2B5EF4-FFF2-40B4-BE49-F238E27FC236}">
                  <a16:creationId xmlns:a16="http://schemas.microsoft.com/office/drawing/2014/main" id="{00000000-0008-0000-1900-00007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199</xdr:row>
          <xdr:rowOff>0</xdr:rowOff>
        </xdr:from>
        <xdr:to>
          <xdr:col>9</xdr:col>
          <xdr:colOff>0</xdr:colOff>
          <xdr:row>200</xdr:row>
          <xdr:rowOff>0</xdr:rowOff>
        </xdr:to>
        <xdr:sp macro="" textlink="">
          <xdr:nvSpPr>
            <xdr:cNvPr id="1062015" name="bpmDropDownFLU458" hidden="1">
              <a:extLst>
                <a:ext uri="{63B3BB69-23CF-44E3-9099-C40C66FF867C}">
                  <a14:compatExt spid="_x0000_s1062015"/>
                </a:ext>
                <a:ext uri="{FF2B5EF4-FFF2-40B4-BE49-F238E27FC236}">
                  <a16:creationId xmlns:a16="http://schemas.microsoft.com/office/drawing/2014/main" id="{00000000-0008-0000-1900-00007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200</xdr:row>
          <xdr:rowOff>0</xdr:rowOff>
        </xdr:from>
        <xdr:to>
          <xdr:col>9</xdr:col>
          <xdr:colOff>0</xdr:colOff>
          <xdr:row>201</xdr:row>
          <xdr:rowOff>0</xdr:rowOff>
        </xdr:to>
        <xdr:sp macro="" textlink="">
          <xdr:nvSpPr>
            <xdr:cNvPr id="1062016" name="bpmDropDownFLU459" hidden="1">
              <a:extLst>
                <a:ext uri="{63B3BB69-23CF-44E3-9099-C40C66FF867C}">
                  <a14:compatExt spid="_x0000_s1062016"/>
                </a:ext>
                <a:ext uri="{FF2B5EF4-FFF2-40B4-BE49-F238E27FC236}">
                  <a16:creationId xmlns:a16="http://schemas.microsoft.com/office/drawing/2014/main" id="{00000000-0008-0000-1900-00008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7</xdr:col>
          <xdr:colOff>0</xdr:colOff>
          <xdr:row>206</xdr:row>
          <xdr:rowOff>0</xdr:rowOff>
        </xdr:to>
        <xdr:sp macro="" textlink="">
          <xdr:nvSpPr>
            <xdr:cNvPr id="1062017" name="bpmDropDownFLU460" hidden="1">
              <a:extLst>
                <a:ext uri="{63B3BB69-23CF-44E3-9099-C40C66FF867C}">
                  <a14:compatExt spid="_x0000_s1062017"/>
                </a:ext>
                <a:ext uri="{FF2B5EF4-FFF2-40B4-BE49-F238E27FC236}">
                  <a16:creationId xmlns:a16="http://schemas.microsoft.com/office/drawing/2014/main" id="{00000000-0008-0000-1900-00008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7</xdr:col>
          <xdr:colOff>0</xdr:colOff>
          <xdr:row>207</xdr:row>
          <xdr:rowOff>0</xdr:rowOff>
        </xdr:to>
        <xdr:sp macro="" textlink="">
          <xdr:nvSpPr>
            <xdr:cNvPr id="1062018" name="bpmDropDownFLU461" hidden="1">
              <a:extLst>
                <a:ext uri="{63B3BB69-23CF-44E3-9099-C40C66FF867C}">
                  <a14:compatExt spid="_x0000_s1062018"/>
                </a:ext>
                <a:ext uri="{FF2B5EF4-FFF2-40B4-BE49-F238E27FC236}">
                  <a16:creationId xmlns:a16="http://schemas.microsoft.com/office/drawing/2014/main" id="{00000000-0008-0000-1900-00008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207</xdr:row>
          <xdr:rowOff>0</xdr:rowOff>
        </xdr:from>
        <xdr:to>
          <xdr:col>7</xdr:col>
          <xdr:colOff>0</xdr:colOff>
          <xdr:row>208</xdr:row>
          <xdr:rowOff>0</xdr:rowOff>
        </xdr:to>
        <xdr:sp macro="" textlink="">
          <xdr:nvSpPr>
            <xdr:cNvPr id="1062019" name="bpmDropDownFLU462" hidden="1">
              <a:extLst>
                <a:ext uri="{63B3BB69-23CF-44E3-9099-C40C66FF867C}">
                  <a14:compatExt spid="_x0000_s1062019"/>
                </a:ext>
                <a:ext uri="{FF2B5EF4-FFF2-40B4-BE49-F238E27FC236}">
                  <a16:creationId xmlns:a16="http://schemas.microsoft.com/office/drawing/2014/main" id="{00000000-0008-0000-1900-00008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7</xdr:col>
          <xdr:colOff>0</xdr:colOff>
          <xdr:row>209</xdr:row>
          <xdr:rowOff>0</xdr:rowOff>
        </xdr:to>
        <xdr:sp macro="" textlink="">
          <xdr:nvSpPr>
            <xdr:cNvPr id="1062020" name="bpmDropDownFLU463" hidden="1">
              <a:extLst>
                <a:ext uri="{63B3BB69-23CF-44E3-9099-C40C66FF867C}">
                  <a14:compatExt spid="_x0000_s1062020"/>
                </a:ext>
                <a:ext uri="{FF2B5EF4-FFF2-40B4-BE49-F238E27FC236}">
                  <a16:creationId xmlns:a16="http://schemas.microsoft.com/office/drawing/2014/main" id="{00000000-0008-0000-1900-00008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0</xdr:rowOff>
        </xdr:from>
        <xdr:to>
          <xdr:col>7</xdr:col>
          <xdr:colOff>0</xdr:colOff>
          <xdr:row>210</xdr:row>
          <xdr:rowOff>0</xdr:rowOff>
        </xdr:to>
        <xdr:sp macro="" textlink="">
          <xdr:nvSpPr>
            <xdr:cNvPr id="1062021" name="bpmDropDownFLU464" hidden="1">
              <a:extLst>
                <a:ext uri="{63B3BB69-23CF-44E3-9099-C40C66FF867C}">
                  <a14:compatExt spid="_x0000_s1062021"/>
                </a:ext>
                <a:ext uri="{FF2B5EF4-FFF2-40B4-BE49-F238E27FC236}">
                  <a16:creationId xmlns:a16="http://schemas.microsoft.com/office/drawing/2014/main" id="{00000000-0008-0000-1900-00008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7</xdr:col>
          <xdr:colOff>0</xdr:colOff>
          <xdr:row>211</xdr:row>
          <xdr:rowOff>0</xdr:rowOff>
        </xdr:to>
        <xdr:sp macro="" textlink="">
          <xdr:nvSpPr>
            <xdr:cNvPr id="1062022" name="bpmDropDownFLU465" hidden="1">
              <a:extLst>
                <a:ext uri="{63B3BB69-23CF-44E3-9099-C40C66FF867C}">
                  <a14:compatExt spid="_x0000_s1062022"/>
                </a:ext>
                <a:ext uri="{FF2B5EF4-FFF2-40B4-BE49-F238E27FC236}">
                  <a16:creationId xmlns:a16="http://schemas.microsoft.com/office/drawing/2014/main" id="{00000000-0008-0000-1900-00008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7</xdr:col>
          <xdr:colOff>0</xdr:colOff>
          <xdr:row>212</xdr:row>
          <xdr:rowOff>0</xdr:rowOff>
        </xdr:to>
        <xdr:sp macro="" textlink="">
          <xdr:nvSpPr>
            <xdr:cNvPr id="1062023" name="bpmDropDownFLU466" hidden="1">
              <a:extLst>
                <a:ext uri="{63B3BB69-23CF-44E3-9099-C40C66FF867C}">
                  <a14:compatExt spid="_x0000_s1062023"/>
                </a:ext>
                <a:ext uri="{FF2B5EF4-FFF2-40B4-BE49-F238E27FC236}">
                  <a16:creationId xmlns:a16="http://schemas.microsoft.com/office/drawing/2014/main" id="{00000000-0008-0000-1900-00008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0</xdr:rowOff>
        </xdr:from>
        <xdr:to>
          <xdr:col>7</xdr:col>
          <xdr:colOff>0</xdr:colOff>
          <xdr:row>213</xdr:row>
          <xdr:rowOff>0</xdr:rowOff>
        </xdr:to>
        <xdr:sp macro="" textlink="">
          <xdr:nvSpPr>
            <xdr:cNvPr id="1062024" name="bpmDropDownFLU467" hidden="1">
              <a:extLst>
                <a:ext uri="{63B3BB69-23CF-44E3-9099-C40C66FF867C}">
                  <a14:compatExt spid="_x0000_s1062024"/>
                </a:ext>
                <a:ext uri="{FF2B5EF4-FFF2-40B4-BE49-F238E27FC236}">
                  <a16:creationId xmlns:a16="http://schemas.microsoft.com/office/drawing/2014/main" id="{00000000-0008-0000-1900-00008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213</xdr:row>
          <xdr:rowOff>0</xdr:rowOff>
        </xdr:from>
        <xdr:to>
          <xdr:col>7</xdr:col>
          <xdr:colOff>0</xdr:colOff>
          <xdr:row>214</xdr:row>
          <xdr:rowOff>0</xdr:rowOff>
        </xdr:to>
        <xdr:sp macro="" textlink="">
          <xdr:nvSpPr>
            <xdr:cNvPr id="1062026" name="bpmDropDownFLU469" hidden="1">
              <a:extLst>
                <a:ext uri="{63B3BB69-23CF-44E3-9099-C40C66FF867C}">
                  <a14:compatExt spid="_x0000_s1062026"/>
                </a:ext>
                <a:ext uri="{FF2B5EF4-FFF2-40B4-BE49-F238E27FC236}">
                  <a16:creationId xmlns:a16="http://schemas.microsoft.com/office/drawing/2014/main" id="{00000000-0008-0000-1900-00008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7</xdr:col>
          <xdr:colOff>0</xdr:colOff>
          <xdr:row>215</xdr:row>
          <xdr:rowOff>0</xdr:rowOff>
        </xdr:to>
        <xdr:sp macro="" textlink="">
          <xdr:nvSpPr>
            <xdr:cNvPr id="1062027" name="bpmDropDownFLU470" hidden="1">
              <a:extLst>
                <a:ext uri="{63B3BB69-23CF-44E3-9099-C40C66FF867C}">
                  <a14:compatExt spid="_x0000_s1062027"/>
                </a:ext>
                <a:ext uri="{FF2B5EF4-FFF2-40B4-BE49-F238E27FC236}">
                  <a16:creationId xmlns:a16="http://schemas.microsoft.com/office/drawing/2014/main" id="{00000000-0008-0000-1900-00008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7</xdr:col>
          <xdr:colOff>0</xdr:colOff>
          <xdr:row>216</xdr:row>
          <xdr:rowOff>0</xdr:rowOff>
        </xdr:to>
        <xdr:sp macro="" textlink="">
          <xdr:nvSpPr>
            <xdr:cNvPr id="1062028" name="bpmDropDownFLU471" hidden="1">
              <a:extLst>
                <a:ext uri="{63B3BB69-23CF-44E3-9099-C40C66FF867C}">
                  <a14:compatExt spid="_x0000_s1062028"/>
                </a:ext>
                <a:ext uri="{FF2B5EF4-FFF2-40B4-BE49-F238E27FC236}">
                  <a16:creationId xmlns:a16="http://schemas.microsoft.com/office/drawing/2014/main" id="{00000000-0008-0000-1900-00008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7</xdr:col>
          <xdr:colOff>0</xdr:colOff>
          <xdr:row>217</xdr:row>
          <xdr:rowOff>0</xdr:rowOff>
        </xdr:to>
        <xdr:sp macro="" textlink="">
          <xdr:nvSpPr>
            <xdr:cNvPr id="1062029" name="bpmDropDownFLU472" hidden="1">
              <a:extLst>
                <a:ext uri="{63B3BB69-23CF-44E3-9099-C40C66FF867C}">
                  <a14:compatExt spid="_x0000_s1062029"/>
                </a:ext>
                <a:ext uri="{FF2B5EF4-FFF2-40B4-BE49-F238E27FC236}">
                  <a16:creationId xmlns:a16="http://schemas.microsoft.com/office/drawing/2014/main" id="{00000000-0008-0000-1900-00008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7</xdr:col>
          <xdr:colOff>0</xdr:colOff>
          <xdr:row>218</xdr:row>
          <xdr:rowOff>0</xdr:rowOff>
        </xdr:to>
        <xdr:sp macro="" textlink="">
          <xdr:nvSpPr>
            <xdr:cNvPr id="1062030" name="bpmDropDownFLU473" hidden="1">
              <a:extLst>
                <a:ext uri="{63B3BB69-23CF-44E3-9099-C40C66FF867C}">
                  <a14:compatExt spid="_x0000_s1062030"/>
                </a:ext>
                <a:ext uri="{FF2B5EF4-FFF2-40B4-BE49-F238E27FC236}">
                  <a16:creationId xmlns:a16="http://schemas.microsoft.com/office/drawing/2014/main" id="{00000000-0008-0000-1900-00008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218</xdr:row>
          <xdr:rowOff>0</xdr:rowOff>
        </xdr:from>
        <xdr:to>
          <xdr:col>7</xdr:col>
          <xdr:colOff>0</xdr:colOff>
          <xdr:row>219</xdr:row>
          <xdr:rowOff>0</xdr:rowOff>
        </xdr:to>
        <xdr:sp macro="" textlink="">
          <xdr:nvSpPr>
            <xdr:cNvPr id="1062031" name="bpmDropDownFLU474" hidden="1">
              <a:extLst>
                <a:ext uri="{63B3BB69-23CF-44E3-9099-C40C66FF867C}">
                  <a14:compatExt spid="_x0000_s1062031"/>
                </a:ext>
                <a:ext uri="{FF2B5EF4-FFF2-40B4-BE49-F238E27FC236}">
                  <a16:creationId xmlns:a16="http://schemas.microsoft.com/office/drawing/2014/main" id="{00000000-0008-0000-1900-00008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7</xdr:col>
          <xdr:colOff>0</xdr:colOff>
          <xdr:row>220</xdr:row>
          <xdr:rowOff>0</xdr:rowOff>
        </xdr:to>
        <xdr:sp macro="" textlink="">
          <xdr:nvSpPr>
            <xdr:cNvPr id="1062032" name="bpmDropDownFLU475" hidden="1">
              <a:extLst>
                <a:ext uri="{63B3BB69-23CF-44E3-9099-C40C66FF867C}">
                  <a14:compatExt spid="_x0000_s1062032"/>
                </a:ext>
                <a:ext uri="{FF2B5EF4-FFF2-40B4-BE49-F238E27FC236}">
                  <a16:creationId xmlns:a16="http://schemas.microsoft.com/office/drawing/2014/main" id="{00000000-0008-0000-1900-00009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224</xdr:row>
          <xdr:rowOff>0</xdr:rowOff>
        </xdr:from>
        <xdr:to>
          <xdr:col>7</xdr:col>
          <xdr:colOff>0</xdr:colOff>
          <xdr:row>225</xdr:row>
          <xdr:rowOff>0</xdr:rowOff>
        </xdr:to>
        <xdr:sp macro="" textlink="">
          <xdr:nvSpPr>
            <xdr:cNvPr id="1062033" name="bpmDropDownFLU476" hidden="1">
              <a:extLst>
                <a:ext uri="{63B3BB69-23CF-44E3-9099-C40C66FF867C}">
                  <a14:compatExt spid="_x0000_s1062033"/>
                </a:ext>
                <a:ext uri="{FF2B5EF4-FFF2-40B4-BE49-F238E27FC236}">
                  <a16:creationId xmlns:a16="http://schemas.microsoft.com/office/drawing/2014/main" id="{00000000-0008-0000-1900-00009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225</xdr:row>
          <xdr:rowOff>0</xdr:rowOff>
        </xdr:from>
        <xdr:to>
          <xdr:col>7</xdr:col>
          <xdr:colOff>0</xdr:colOff>
          <xdr:row>226</xdr:row>
          <xdr:rowOff>0</xdr:rowOff>
        </xdr:to>
        <xdr:sp macro="" textlink="">
          <xdr:nvSpPr>
            <xdr:cNvPr id="1062034" name="bpmDropDownFLU477" hidden="1">
              <a:extLst>
                <a:ext uri="{63B3BB69-23CF-44E3-9099-C40C66FF867C}">
                  <a14:compatExt spid="_x0000_s1062034"/>
                </a:ext>
                <a:ext uri="{FF2B5EF4-FFF2-40B4-BE49-F238E27FC236}">
                  <a16:creationId xmlns:a16="http://schemas.microsoft.com/office/drawing/2014/main" id="{00000000-0008-0000-1900-00009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7</xdr:col>
          <xdr:colOff>0</xdr:colOff>
          <xdr:row>227</xdr:row>
          <xdr:rowOff>0</xdr:rowOff>
        </xdr:to>
        <xdr:sp macro="" textlink="">
          <xdr:nvSpPr>
            <xdr:cNvPr id="1062035" name="bpmDropDownFLU478" hidden="1">
              <a:extLst>
                <a:ext uri="{63B3BB69-23CF-44E3-9099-C40C66FF867C}">
                  <a14:compatExt spid="_x0000_s1062035"/>
                </a:ext>
                <a:ext uri="{FF2B5EF4-FFF2-40B4-BE49-F238E27FC236}">
                  <a16:creationId xmlns:a16="http://schemas.microsoft.com/office/drawing/2014/main" id="{00000000-0008-0000-1900-00009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227</xdr:row>
          <xdr:rowOff>0</xdr:rowOff>
        </xdr:from>
        <xdr:to>
          <xdr:col>7</xdr:col>
          <xdr:colOff>0</xdr:colOff>
          <xdr:row>228</xdr:row>
          <xdr:rowOff>0</xdr:rowOff>
        </xdr:to>
        <xdr:sp macro="" textlink="">
          <xdr:nvSpPr>
            <xdr:cNvPr id="1062036" name="bpmDropDownFLU479" hidden="1">
              <a:extLst>
                <a:ext uri="{63B3BB69-23CF-44E3-9099-C40C66FF867C}">
                  <a14:compatExt spid="_x0000_s1062036"/>
                </a:ext>
                <a:ext uri="{FF2B5EF4-FFF2-40B4-BE49-F238E27FC236}">
                  <a16:creationId xmlns:a16="http://schemas.microsoft.com/office/drawing/2014/main" id="{00000000-0008-0000-1900-00009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228</xdr:row>
          <xdr:rowOff>0</xdr:rowOff>
        </xdr:from>
        <xdr:to>
          <xdr:col>7</xdr:col>
          <xdr:colOff>0</xdr:colOff>
          <xdr:row>229</xdr:row>
          <xdr:rowOff>0</xdr:rowOff>
        </xdr:to>
        <xdr:sp macro="" textlink="">
          <xdr:nvSpPr>
            <xdr:cNvPr id="1062037" name="bpmDropDownFLU480" hidden="1">
              <a:extLst>
                <a:ext uri="{63B3BB69-23CF-44E3-9099-C40C66FF867C}">
                  <a14:compatExt spid="_x0000_s1062037"/>
                </a:ext>
                <a:ext uri="{FF2B5EF4-FFF2-40B4-BE49-F238E27FC236}">
                  <a16:creationId xmlns:a16="http://schemas.microsoft.com/office/drawing/2014/main" id="{00000000-0008-0000-1900-00009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7</xdr:col>
          <xdr:colOff>0</xdr:colOff>
          <xdr:row>230</xdr:row>
          <xdr:rowOff>0</xdr:rowOff>
        </xdr:to>
        <xdr:sp macro="" textlink="">
          <xdr:nvSpPr>
            <xdr:cNvPr id="1062038" name="bpmDropDownFLU481" hidden="1">
              <a:extLst>
                <a:ext uri="{63B3BB69-23CF-44E3-9099-C40C66FF867C}">
                  <a14:compatExt spid="_x0000_s1062038"/>
                </a:ext>
                <a:ext uri="{FF2B5EF4-FFF2-40B4-BE49-F238E27FC236}">
                  <a16:creationId xmlns:a16="http://schemas.microsoft.com/office/drawing/2014/main" id="{00000000-0008-0000-1900-00009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230</xdr:row>
          <xdr:rowOff>0</xdr:rowOff>
        </xdr:from>
        <xdr:to>
          <xdr:col>7</xdr:col>
          <xdr:colOff>0</xdr:colOff>
          <xdr:row>231</xdr:row>
          <xdr:rowOff>0</xdr:rowOff>
        </xdr:to>
        <xdr:sp macro="" textlink="">
          <xdr:nvSpPr>
            <xdr:cNvPr id="1062039" name="bpmDropDownFLU482" hidden="1">
              <a:extLst>
                <a:ext uri="{63B3BB69-23CF-44E3-9099-C40C66FF867C}">
                  <a14:compatExt spid="_x0000_s1062039"/>
                </a:ext>
                <a:ext uri="{FF2B5EF4-FFF2-40B4-BE49-F238E27FC236}">
                  <a16:creationId xmlns:a16="http://schemas.microsoft.com/office/drawing/2014/main" id="{00000000-0008-0000-1900-00009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231</xdr:row>
          <xdr:rowOff>0</xdr:rowOff>
        </xdr:from>
        <xdr:to>
          <xdr:col>7</xdr:col>
          <xdr:colOff>0</xdr:colOff>
          <xdr:row>232</xdr:row>
          <xdr:rowOff>0</xdr:rowOff>
        </xdr:to>
        <xdr:sp macro="" textlink="">
          <xdr:nvSpPr>
            <xdr:cNvPr id="1062040" name="bpmDropDownFLU483" hidden="1">
              <a:extLst>
                <a:ext uri="{63B3BB69-23CF-44E3-9099-C40C66FF867C}">
                  <a14:compatExt spid="_x0000_s1062040"/>
                </a:ext>
                <a:ext uri="{FF2B5EF4-FFF2-40B4-BE49-F238E27FC236}">
                  <a16:creationId xmlns:a16="http://schemas.microsoft.com/office/drawing/2014/main" id="{00000000-0008-0000-1900-00009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7</xdr:col>
          <xdr:colOff>0</xdr:colOff>
          <xdr:row>233</xdr:row>
          <xdr:rowOff>0</xdr:rowOff>
        </xdr:to>
        <xdr:sp macro="" textlink="">
          <xdr:nvSpPr>
            <xdr:cNvPr id="1062042" name="bpmDropDownFLU486" hidden="1">
              <a:extLst>
                <a:ext uri="{63B3BB69-23CF-44E3-9099-C40C66FF867C}">
                  <a14:compatExt spid="_x0000_s1062042"/>
                </a:ext>
                <a:ext uri="{FF2B5EF4-FFF2-40B4-BE49-F238E27FC236}">
                  <a16:creationId xmlns:a16="http://schemas.microsoft.com/office/drawing/2014/main" id="{00000000-0008-0000-1900-00009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233</xdr:row>
          <xdr:rowOff>0</xdr:rowOff>
        </xdr:from>
        <xdr:to>
          <xdr:col>7</xdr:col>
          <xdr:colOff>0</xdr:colOff>
          <xdr:row>234</xdr:row>
          <xdr:rowOff>0</xdr:rowOff>
        </xdr:to>
        <xdr:sp macro="" textlink="">
          <xdr:nvSpPr>
            <xdr:cNvPr id="1062043" name="bpmDropDownFLU488" hidden="1">
              <a:extLst>
                <a:ext uri="{63B3BB69-23CF-44E3-9099-C40C66FF867C}">
                  <a14:compatExt spid="_x0000_s1062043"/>
                </a:ext>
                <a:ext uri="{FF2B5EF4-FFF2-40B4-BE49-F238E27FC236}">
                  <a16:creationId xmlns:a16="http://schemas.microsoft.com/office/drawing/2014/main" id="{00000000-0008-0000-1900-00009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234</xdr:row>
          <xdr:rowOff>0</xdr:rowOff>
        </xdr:from>
        <xdr:to>
          <xdr:col>7</xdr:col>
          <xdr:colOff>0</xdr:colOff>
          <xdr:row>235</xdr:row>
          <xdr:rowOff>0</xdr:rowOff>
        </xdr:to>
        <xdr:sp macro="" textlink="">
          <xdr:nvSpPr>
            <xdr:cNvPr id="1062044" name="bpmDropDownFLU489" hidden="1">
              <a:extLst>
                <a:ext uri="{63B3BB69-23CF-44E3-9099-C40C66FF867C}">
                  <a14:compatExt spid="_x0000_s1062044"/>
                </a:ext>
                <a:ext uri="{FF2B5EF4-FFF2-40B4-BE49-F238E27FC236}">
                  <a16:creationId xmlns:a16="http://schemas.microsoft.com/office/drawing/2014/main" id="{00000000-0008-0000-1900-00009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7</xdr:col>
          <xdr:colOff>0</xdr:colOff>
          <xdr:row>236</xdr:row>
          <xdr:rowOff>0</xdr:rowOff>
        </xdr:to>
        <xdr:sp macro="" textlink="">
          <xdr:nvSpPr>
            <xdr:cNvPr id="1062045" name="bpmDropDownFLU490" hidden="1">
              <a:extLst>
                <a:ext uri="{63B3BB69-23CF-44E3-9099-C40C66FF867C}">
                  <a14:compatExt spid="_x0000_s1062045"/>
                </a:ext>
                <a:ext uri="{FF2B5EF4-FFF2-40B4-BE49-F238E27FC236}">
                  <a16:creationId xmlns:a16="http://schemas.microsoft.com/office/drawing/2014/main" id="{00000000-0008-0000-1900-00009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0</xdr:rowOff>
        </xdr:from>
        <xdr:to>
          <xdr:col>7</xdr:col>
          <xdr:colOff>0</xdr:colOff>
          <xdr:row>237</xdr:row>
          <xdr:rowOff>0</xdr:rowOff>
        </xdr:to>
        <xdr:sp macro="" textlink="">
          <xdr:nvSpPr>
            <xdr:cNvPr id="1062046" name="bpmDropDownFLU491" hidden="1">
              <a:extLst>
                <a:ext uri="{63B3BB69-23CF-44E3-9099-C40C66FF867C}">
                  <a14:compatExt spid="_x0000_s1062046"/>
                </a:ext>
                <a:ext uri="{FF2B5EF4-FFF2-40B4-BE49-F238E27FC236}">
                  <a16:creationId xmlns:a16="http://schemas.microsoft.com/office/drawing/2014/main" id="{00000000-0008-0000-1900-00009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237</xdr:row>
          <xdr:rowOff>0</xdr:rowOff>
        </xdr:from>
        <xdr:to>
          <xdr:col>7</xdr:col>
          <xdr:colOff>0</xdr:colOff>
          <xdr:row>238</xdr:row>
          <xdr:rowOff>0</xdr:rowOff>
        </xdr:to>
        <xdr:sp macro="" textlink="">
          <xdr:nvSpPr>
            <xdr:cNvPr id="1062047" name="bpmDropDownFLU492" hidden="1">
              <a:extLst>
                <a:ext uri="{63B3BB69-23CF-44E3-9099-C40C66FF867C}">
                  <a14:compatExt spid="_x0000_s1062047"/>
                </a:ext>
                <a:ext uri="{FF2B5EF4-FFF2-40B4-BE49-F238E27FC236}">
                  <a16:creationId xmlns:a16="http://schemas.microsoft.com/office/drawing/2014/main" id="{00000000-0008-0000-1900-00009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7</xdr:col>
          <xdr:colOff>0</xdr:colOff>
          <xdr:row>239</xdr:row>
          <xdr:rowOff>0</xdr:rowOff>
        </xdr:to>
        <xdr:sp macro="" textlink="">
          <xdr:nvSpPr>
            <xdr:cNvPr id="1062048" name="bpmDropDownFLU493" hidden="1">
              <a:extLst>
                <a:ext uri="{63B3BB69-23CF-44E3-9099-C40C66FF867C}">
                  <a14:compatExt spid="_x0000_s1062048"/>
                </a:ext>
                <a:ext uri="{FF2B5EF4-FFF2-40B4-BE49-F238E27FC236}">
                  <a16:creationId xmlns:a16="http://schemas.microsoft.com/office/drawing/2014/main" id="{00000000-0008-0000-1900-0000A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0</xdr:rowOff>
        </xdr:from>
        <xdr:to>
          <xdr:col>7</xdr:col>
          <xdr:colOff>0</xdr:colOff>
          <xdr:row>244</xdr:row>
          <xdr:rowOff>0</xdr:rowOff>
        </xdr:to>
        <xdr:sp macro="" textlink="">
          <xdr:nvSpPr>
            <xdr:cNvPr id="1062049" name="bpmDropDownFLU494" hidden="1">
              <a:extLst>
                <a:ext uri="{63B3BB69-23CF-44E3-9099-C40C66FF867C}">
                  <a14:compatExt spid="_x0000_s1062049"/>
                </a:ext>
                <a:ext uri="{FF2B5EF4-FFF2-40B4-BE49-F238E27FC236}">
                  <a16:creationId xmlns:a16="http://schemas.microsoft.com/office/drawing/2014/main" id="{00000000-0008-0000-1900-0000A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7</xdr:col>
          <xdr:colOff>0</xdr:colOff>
          <xdr:row>245</xdr:row>
          <xdr:rowOff>0</xdr:rowOff>
        </xdr:to>
        <xdr:sp macro="" textlink="">
          <xdr:nvSpPr>
            <xdr:cNvPr id="1062050" name="bpmDropDownFLU495" hidden="1">
              <a:extLst>
                <a:ext uri="{63B3BB69-23CF-44E3-9099-C40C66FF867C}">
                  <a14:compatExt spid="_x0000_s1062050"/>
                </a:ext>
                <a:ext uri="{FF2B5EF4-FFF2-40B4-BE49-F238E27FC236}">
                  <a16:creationId xmlns:a16="http://schemas.microsoft.com/office/drawing/2014/main" id="{00000000-0008-0000-1900-0000A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245</xdr:row>
          <xdr:rowOff>0</xdr:rowOff>
        </xdr:from>
        <xdr:to>
          <xdr:col>7</xdr:col>
          <xdr:colOff>0</xdr:colOff>
          <xdr:row>246</xdr:row>
          <xdr:rowOff>0</xdr:rowOff>
        </xdr:to>
        <xdr:sp macro="" textlink="">
          <xdr:nvSpPr>
            <xdr:cNvPr id="1062051" name="bpmDropDownFLU496" hidden="1">
              <a:extLst>
                <a:ext uri="{63B3BB69-23CF-44E3-9099-C40C66FF867C}">
                  <a14:compatExt spid="_x0000_s1062051"/>
                </a:ext>
                <a:ext uri="{FF2B5EF4-FFF2-40B4-BE49-F238E27FC236}">
                  <a16:creationId xmlns:a16="http://schemas.microsoft.com/office/drawing/2014/main" id="{00000000-0008-0000-1900-0000A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xdr:row>
          <xdr:rowOff>0</xdr:rowOff>
        </xdr:from>
        <xdr:to>
          <xdr:col>7</xdr:col>
          <xdr:colOff>0</xdr:colOff>
          <xdr:row>247</xdr:row>
          <xdr:rowOff>0</xdr:rowOff>
        </xdr:to>
        <xdr:sp macro="" textlink="">
          <xdr:nvSpPr>
            <xdr:cNvPr id="1062052" name="bpmDropDownFLU497" hidden="1">
              <a:extLst>
                <a:ext uri="{63B3BB69-23CF-44E3-9099-C40C66FF867C}">
                  <a14:compatExt spid="_x0000_s1062052"/>
                </a:ext>
                <a:ext uri="{FF2B5EF4-FFF2-40B4-BE49-F238E27FC236}">
                  <a16:creationId xmlns:a16="http://schemas.microsoft.com/office/drawing/2014/main" id="{00000000-0008-0000-1900-0000A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7</xdr:col>
          <xdr:colOff>0</xdr:colOff>
          <xdr:row>248</xdr:row>
          <xdr:rowOff>0</xdr:rowOff>
        </xdr:to>
        <xdr:sp macro="" textlink="">
          <xdr:nvSpPr>
            <xdr:cNvPr id="1062053" name="bpmDropDownFLU498" hidden="1">
              <a:extLst>
                <a:ext uri="{63B3BB69-23CF-44E3-9099-C40C66FF867C}">
                  <a14:compatExt spid="_x0000_s1062053"/>
                </a:ext>
                <a:ext uri="{FF2B5EF4-FFF2-40B4-BE49-F238E27FC236}">
                  <a16:creationId xmlns:a16="http://schemas.microsoft.com/office/drawing/2014/main" id="{00000000-0008-0000-1900-0000A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248</xdr:row>
          <xdr:rowOff>0</xdr:rowOff>
        </xdr:from>
        <xdr:to>
          <xdr:col>7</xdr:col>
          <xdr:colOff>0</xdr:colOff>
          <xdr:row>249</xdr:row>
          <xdr:rowOff>0</xdr:rowOff>
        </xdr:to>
        <xdr:sp macro="" textlink="">
          <xdr:nvSpPr>
            <xdr:cNvPr id="1062054" name="bpmDropDownFLU499" hidden="1">
              <a:extLst>
                <a:ext uri="{63B3BB69-23CF-44E3-9099-C40C66FF867C}">
                  <a14:compatExt spid="_x0000_s1062054"/>
                </a:ext>
                <a:ext uri="{FF2B5EF4-FFF2-40B4-BE49-F238E27FC236}">
                  <a16:creationId xmlns:a16="http://schemas.microsoft.com/office/drawing/2014/main" id="{00000000-0008-0000-1900-0000A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249</xdr:row>
          <xdr:rowOff>0</xdr:rowOff>
        </xdr:from>
        <xdr:to>
          <xdr:col>7</xdr:col>
          <xdr:colOff>0</xdr:colOff>
          <xdr:row>250</xdr:row>
          <xdr:rowOff>0</xdr:rowOff>
        </xdr:to>
        <xdr:sp macro="" textlink="">
          <xdr:nvSpPr>
            <xdr:cNvPr id="1062055" name="bpmDropDownFLU500" hidden="1">
              <a:extLst>
                <a:ext uri="{63B3BB69-23CF-44E3-9099-C40C66FF867C}">
                  <a14:compatExt spid="_x0000_s1062055"/>
                </a:ext>
                <a:ext uri="{FF2B5EF4-FFF2-40B4-BE49-F238E27FC236}">
                  <a16:creationId xmlns:a16="http://schemas.microsoft.com/office/drawing/2014/main" id="{00000000-0008-0000-1900-0000A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7</xdr:col>
          <xdr:colOff>0</xdr:colOff>
          <xdr:row>251</xdr:row>
          <xdr:rowOff>0</xdr:rowOff>
        </xdr:to>
        <xdr:sp macro="" textlink="">
          <xdr:nvSpPr>
            <xdr:cNvPr id="1062056" name="bpmDropDownFLU501" hidden="1">
              <a:extLst>
                <a:ext uri="{63B3BB69-23CF-44E3-9099-C40C66FF867C}">
                  <a14:compatExt spid="_x0000_s1062056"/>
                </a:ext>
                <a:ext uri="{FF2B5EF4-FFF2-40B4-BE49-F238E27FC236}">
                  <a16:creationId xmlns:a16="http://schemas.microsoft.com/office/drawing/2014/main" id="{00000000-0008-0000-1900-0000A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251</xdr:row>
          <xdr:rowOff>0</xdr:rowOff>
        </xdr:from>
        <xdr:to>
          <xdr:col>7</xdr:col>
          <xdr:colOff>0</xdr:colOff>
          <xdr:row>252</xdr:row>
          <xdr:rowOff>0</xdr:rowOff>
        </xdr:to>
        <xdr:sp macro="" textlink="">
          <xdr:nvSpPr>
            <xdr:cNvPr id="1062058" name="bpmDropDownFLU520" hidden="1">
              <a:extLst>
                <a:ext uri="{63B3BB69-23CF-44E3-9099-C40C66FF867C}">
                  <a14:compatExt spid="_x0000_s1062058"/>
                </a:ext>
                <a:ext uri="{FF2B5EF4-FFF2-40B4-BE49-F238E27FC236}">
                  <a16:creationId xmlns:a16="http://schemas.microsoft.com/office/drawing/2014/main" id="{00000000-0008-0000-1900-0000A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252</xdr:row>
          <xdr:rowOff>0</xdr:rowOff>
        </xdr:from>
        <xdr:to>
          <xdr:col>7</xdr:col>
          <xdr:colOff>0</xdr:colOff>
          <xdr:row>253</xdr:row>
          <xdr:rowOff>0</xdr:rowOff>
        </xdr:to>
        <xdr:sp macro="" textlink="">
          <xdr:nvSpPr>
            <xdr:cNvPr id="1062059" name="bpmDropDownFLU521" hidden="1">
              <a:extLst>
                <a:ext uri="{63B3BB69-23CF-44E3-9099-C40C66FF867C}">
                  <a14:compatExt spid="_x0000_s1062059"/>
                </a:ext>
                <a:ext uri="{FF2B5EF4-FFF2-40B4-BE49-F238E27FC236}">
                  <a16:creationId xmlns:a16="http://schemas.microsoft.com/office/drawing/2014/main" id="{00000000-0008-0000-1900-0000A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7</xdr:col>
          <xdr:colOff>0</xdr:colOff>
          <xdr:row>254</xdr:row>
          <xdr:rowOff>0</xdr:rowOff>
        </xdr:to>
        <xdr:sp macro="" textlink="">
          <xdr:nvSpPr>
            <xdr:cNvPr id="1062060" name="bpmDropDownFLU522" hidden="1">
              <a:extLst>
                <a:ext uri="{63B3BB69-23CF-44E3-9099-C40C66FF867C}">
                  <a14:compatExt spid="_x0000_s1062060"/>
                </a:ext>
                <a:ext uri="{FF2B5EF4-FFF2-40B4-BE49-F238E27FC236}">
                  <a16:creationId xmlns:a16="http://schemas.microsoft.com/office/drawing/2014/main" id="{00000000-0008-0000-1900-0000A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254</xdr:row>
          <xdr:rowOff>0</xdr:rowOff>
        </xdr:from>
        <xdr:to>
          <xdr:col>7</xdr:col>
          <xdr:colOff>0</xdr:colOff>
          <xdr:row>255</xdr:row>
          <xdr:rowOff>0</xdr:rowOff>
        </xdr:to>
        <xdr:sp macro="" textlink="">
          <xdr:nvSpPr>
            <xdr:cNvPr id="1062061" name="bpmDropDownFLU523" hidden="1">
              <a:extLst>
                <a:ext uri="{63B3BB69-23CF-44E3-9099-C40C66FF867C}">
                  <a14:compatExt spid="_x0000_s1062061"/>
                </a:ext>
                <a:ext uri="{FF2B5EF4-FFF2-40B4-BE49-F238E27FC236}">
                  <a16:creationId xmlns:a16="http://schemas.microsoft.com/office/drawing/2014/main" id="{00000000-0008-0000-1900-0000A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255</xdr:row>
          <xdr:rowOff>0</xdr:rowOff>
        </xdr:from>
        <xdr:to>
          <xdr:col>7</xdr:col>
          <xdr:colOff>0</xdr:colOff>
          <xdr:row>256</xdr:row>
          <xdr:rowOff>0</xdr:rowOff>
        </xdr:to>
        <xdr:sp macro="" textlink="">
          <xdr:nvSpPr>
            <xdr:cNvPr id="1062062" name="bpmDropDownFLU524" hidden="1">
              <a:extLst>
                <a:ext uri="{63B3BB69-23CF-44E3-9099-C40C66FF867C}">
                  <a14:compatExt spid="_x0000_s1062062"/>
                </a:ext>
                <a:ext uri="{FF2B5EF4-FFF2-40B4-BE49-F238E27FC236}">
                  <a16:creationId xmlns:a16="http://schemas.microsoft.com/office/drawing/2014/main" id="{00000000-0008-0000-1900-0000A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7</xdr:col>
          <xdr:colOff>0</xdr:colOff>
          <xdr:row>257</xdr:row>
          <xdr:rowOff>0</xdr:rowOff>
        </xdr:to>
        <xdr:sp macro="" textlink="">
          <xdr:nvSpPr>
            <xdr:cNvPr id="1062063" name="bpmDropDownFLU525" hidden="1">
              <a:extLst>
                <a:ext uri="{63B3BB69-23CF-44E3-9099-C40C66FF867C}">
                  <a14:compatExt spid="_x0000_s1062063"/>
                </a:ext>
                <a:ext uri="{FF2B5EF4-FFF2-40B4-BE49-F238E27FC236}">
                  <a16:creationId xmlns:a16="http://schemas.microsoft.com/office/drawing/2014/main" id="{00000000-0008-0000-1900-0000A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257</xdr:row>
          <xdr:rowOff>0</xdr:rowOff>
        </xdr:from>
        <xdr:to>
          <xdr:col>7</xdr:col>
          <xdr:colOff>0</xdr:colOff>
          <xdr:row>258</xdr:row>
          <xdr:rowOff>0</xdr:rowOff>
        </xdr:to>
        <xdr:sp macro="" textlink="">
          <xdr:nvSpPr>
            <xdr:cNvPr id="1062064" name="bpmDropDownFLU545" hidden="1">
              <a:extLst>
                <a:ext uri="{63B3BB69-23CF-44E3-9099-C40C66FF867C}">
                  <a14:compatExt spid="_x0000_s1062064"/>
                </a:ext>
                <a:ext uri="{FF2B5EF4-FFF2-40B4-BE49-F238E27FC236}">
                  <a16:creationId xmlns:a16="http://schemas.microsoft.com/office/drawing/2014/main" id="{00000000-0008-0000-1900-0000B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1062065" name="bpmDropDownFLU546" hidden="1">
              <a:extLst>
                <a:ext uri="{63B3BB69-23CF-44E3-9099-C40C66FF867C}">
                  <a14:compatExt spid="_x0000_s1062065"/>
                </a:ext>
                <a:ext uri="{FF2B5EF4-FFF2-40B4-BE49-F238E27FC236}">
                  <a16:creationId xmlns:a16="http://schemas.microsoft.com/office/drawing/2014/main" id="{00000000-0008-0000-1900-0000B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1062066" name="bpmDropDownFLU547" hidden="1">
              <a:extLst>
                <a:ext uri="{63B3BB69-23CF-44E3-9099-C40C66FF867C}">
                  <a14:compatExt spid="_x0000_s1062066"/>
                </a:ext>
                <a:ext uri="{FF2B5EF4-FFF2-40B4-BE49-F238E27FC236}">
                  <a16:creationId xmlns:a16="http://schemas.microsoft.com/office/drawing/2014/main" id="{00000000-0008-0000-1900-0000B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1062067" name="bpmDropDownFLU548" hidden="1">
              <a:extLst>
                <a:ext uri="{63B3BB69-23CF-44E3-9099-C40C66FF867C}">
                  <a14:compatExt spid="_x0000_s1062067"/>
                </a:ext>
                <a:ext uri="{FF2B5EF4-FFF2-40B4-BE49-F238E27FC236}">
                  <a16:creationId xmlns:a16="http://schemas.microsoft.com/office/drawing/2014/main" id="{00000000-0008-0000-1900-0000B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7</xdr:col>
          <xdr:colOff>0</xdr:colOff>
          <xdr:row>162</xdr:row>
          <xdr:rowOff>0</xdr:rowOff>
        </xdr:to>
        <xdr:sp macro="" textlink="">
          <xdr:nvSpPr>
            <xdr:cNvPr id="1062068" name="bpmDropDownFLU549" hidden="1">
              <a:extLst>
                <a:ext uri="{63B3BB69-23CF-44E3-9099-C40C66FF867C}">
                  <a14:compatExt spid="_x0000_s1062068"/>
                </a:ext>
                <a:ext uri="{FF2B5EF4-FFF2-40B4-BE49-F238E27FC236}">
                  <a16:creationId xmlns:a16="http://schemas.microsoft.com/office/drawing/2014/main" id="{00000000-0008-0000-1900-0000B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7</xdr:col>
          <xdr:colOff>0</xdr:colOff>
          <xdr:row>163</xdr:row>
          <xdr:rowOff>0</xdr:rowOff>
        </xdr:to>
        <xdr:sp macro="" textlink="">
          <xdr:nvSpPr>
            <xdr:cNvPr id="1062069" name="bpmDropDownFLU550" hidden="1">
              <a:extLst>
                <a:ext uri="{63B3BB69-23CF-44E3-9099-C40C66FF867C}">
                  <a14:compatExt spid="_x0000_s1062069"/>
                </a:ext>
                <a:ext uri="{FF2B5EF4-FFF2-40B4-BE49-F238E27FC236}">
                  <a16:creationId xmlns:a16="http://schemas.microsoft.com/office/drawing/2014/main" id="{00000000-0008-0000-1900-0000B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1062070" name="bpmDropDownFLU680" hidden="1">
              <a:extLst>
                <a:ext uri="{63B3BB69-23CF-44E3-9099-C40C66FF867C}">
                  <a14:compatExt spid="_x0000_s1062070"/>
                </a:ext>
                <a:ext uri="{FF2B5EF4-FFF2-40B4-BE49-F238E27FC236}">
                  <a16:creationId xmlns:a16="http://schemas.microsoft.com/office/drawing/2014/main" id="{00000000-0008-0000-1900-0000B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1062071" name="bpmDropDownFLU681" hidden="1">
              <a:extLst>
                <a:ext uri="{63B3BB69-23CF-44E3-9099-C40C66FF867C}">
                  <a14:compatExt spid="_x0000_s1062071"/>
                </a:ext>
                <a:ext uri="{FF2B5EF4-FFF2-40B4-BE49-F238E27FC236}">
                  <a16:creationId xmlns:a16="http://schemas.microsoft.com/office/drawing/2014/main" id="{00000000-0008-0000-1900-0000B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1062072" name="bpmDropDownFLU682" hidden="1">
              <a:extLst>
                <a:ext uri="{63B3BB69-23CF-44E3-9099-C40C66FF867C}">
                  <a14:compatExt spid="_x0000_s1062072"/>
                </a:ext>
                <a:ext uri="{FF2B5EF4-FFF2-40B4-BE49-F238E27FC236}">
                  <a16:creationId xmlns:a16="http://schemas.microsoft.com/office/drawing/2014/main" id="{00000000-0008-0000-1900-0000B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1062074" name="bpmDropDownFLU684" hidden="1">
              <a:extLst>
                <a:ext uri="{63B3BB69-23CF-44E3-9099-C40C66FF867C}">
                  <a14:compatExt spid="_x0000_s1062074"/>
                </a:ext>
                <a:ext uri="{FF2B5EF4-FFF2-40B4-BE49-F238E27FC236}">
                  <a16:creationId xmlns:a16="http://schemas.microsoft.com/office/drawing/2014/main" id="{00000000-0008-0000-1900-0000B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1062075" name="bpmDropDownFLU685" hidden="1">
              <a:extLst>
                <a:ext uri="{63B3BB69-23CF-44E3-9099-C40C66FF867C}">
                  <a14:compatExt spid="_x0000_s1062075"/>
                </a:ext>
                <a:ext uri="{FF2B5EF4-FFF2-40B4-BE49-F238E27FC236}">
                  <a16:creationId xmlns:a16="http://schemas.microsoft.com/office/drawing/2014/main" id="{00000000-0008-0000-1900-0000B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1062076" name="bpmDropDownFLU686" hidden="1">
              <a:extLst>
                <a:ext uri="{63B3BB69-23CF-44E3-9099-C40C66FF867C}">
                  <a14:compatExt spid="_x0000_s1062076"/>
                </a:ext>
                <a:ext uri="{FF2B5EF4-FFF2-40B4-BE49-F238E27FC236}">
                  <a16:creationId xmlns:a16="http://schemas.microsoft.com/office/drawing/2014/main" id="{00000000-0008-0000-1900-0000B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1062077" name="bpmDropDownFLU688" hidden="1">
              <a:extLst>
                <a:ext uri="{63B3BB69-23CF-44E3-9099-C40C66FF867C}">
                  <a14:compatExt spid="_x0000_s1062077"/>
                </a:ext>
                <a:ext uri="{FF2B5EF4-FFF2-40B4-BE49-F238E27FC236}">
                  <a16:creationId xmlns:a16="http://schemas.microsoft.com/office/drawing/2014/main" id="{00000000-0008-0000-1900-0000B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7</xdr:col>
          <xdr:colOff>0</xdr:colOff>
          <xdr:row>171</xdr:row>
          <xdr:rowOff>0</xdr:rowOff>
        </xdr:to>
        <xdr:sp macro="" textlink="">
          <xdr:nvSpPr>
            <xdr:cNvPr id="1062078" name="bpmDropDownFLU948" hidden="1">
              <a:extLst>
                <a:ext uri="{63B3BB69-23CF-44E3-9099-C40C66FF867C}">
                  <a14:compatExt spid="_x0000_s1062078"/>
                </a:ext>
                <a:ext uri="{FF2B5EF4-FFF2-40B4-BE49-F238E27FC236}">
                  <a16:creationId xmlns:a16="http://schemas.microsoft.com/office/drawing/2014/main" id="{00000000-0008-0000-1900-0000B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171</xdr:row>
          <xdr:rowOff>0</xdr:rowOff>
        </xdr:from>
        <xdr:to>
          <xdr:col>7</xdr:col>
          <xdr:colOff>0</xdr:colOff>
          <xdr:row>172</xdr:row>
          <xdr:rowOff>0</xdr:rowOff>
        </xdr:to>
        <xdr:sp macro="" textlink="">
          <xdr:nvSpPr>
            <xdr:cNvPr id="1062079" name="bpmDropDownFLU949" hidden="1">
              <a:extLst>
                <a:ext uri="{63B3BB69-23CF-44E3-9099-C40C66FF867C}">
                  <a14:compatExt spid="_x0000_s1062079"/>
                </a:ext>
                <a:ext uri="{FF2B5EF4-FFF2-40B4-BE49-F238E27FC236}">
                  <a16:creationId xmlns:a16="http://schemas.microsoft.com/office/drawing/2014/main" id="{00000000-0008-0000-1900-0000B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7</xdr:col>
          <xdr:colOff>0</xdr:colOff>
          <xdr:row>173</xdr:row>
          <xdr:rowOff>0</xdr:rowOff>
        </xdr:to>
        <xdr:sp macro="" textlink="">
          <xdr:nvSpPr>
            <xdr:cNvPr id="1062080" name="bpmDropDownFLU950" hidden="1">
              <a:extLst>
                <a:ext uri="{63B3BB69-23CF-44E3-9099-C40C66FF867C}">
                  <a14:compatExt spid="_x0000_s1062080"/>
                </a:ext>
                <a:ext uri="{FF2B5EF4-FFF2-40B4-BE49-F238E27FC236}">
                  <a16:creationId xmlns:a16="http://schemas.microsoft.com/office/drawing/2014/main" id="{00000000-0008-0000-1900-0000C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7</xdr:col>
          <xdr:colOff>0</xdr:colOff>
          <xdr:row>140</xdr:row>
          <xdr:rowOff>0</xdr:rowOff>
        </xdr:to>
        <xdr:sp macro="" textlink="">
          <xdr:nvSpPr>
            <xdr:cNvPr id="1062081" name="bpmDropDownFLU951" hidden="1">
              <a:extLst>
                <a:ext uri="{63B3BB69-23CF-44E3-9099-C40C66FF867C}">
                  <a14:compatExt spid="_x0000_s1062081"/>
                </a:ext>
                <a:ext uri="{FF2B5EF4-FFF2-40B4-BE49-F238E27FC236}">
                  <a16:creationId xmlns:a16="http://schemas.microsoft.com/office/drawing/2014/main" id="{00000000-0008-0000-1900-0000C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1062082" name="bpmDropDownFLU952" hidden="1">
              <a:extLst>
                <a:ext uri="{63B3BB69-23CF-44E3-9099-C40C66FF867C}">
                  <a14:compatExt spid="_x0000_s1062082"/>
                </a:ext>
                <a:ext uri="{FF2B5EF4-FFF2-40B4-BE49-F238E27FC236}">
                  <a16:creationId xmlns:a16="http://schemas.microsoft.com/office/drawing/2014/main" id="{00000000-0008-0000-1900-0000C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1062083" name="bpmDropDownFLU953" hidden="1">
              <a:extLst>
                <a:ext uri="{63B3BB69-23CF-44E3-9099-C40C66FF867C}">
                  <a14:compatExt spid="_x0000_s1062083"/>
                </a:ext>
                <a:ext uri="{FF2B5EF4-FFF2-40B4-BE49-F238E27FC236}">
                  <a16:creationId xmlns:a16="http://schemas.microsoft.com/office/drawing/2014/main" id="{00000000-0008-0000-1900-0000C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1062084" name="bpmDropDownFLU973" hidden="1">
              <a:extLst>
                <a:ext uri="{63B3BB69-23CF-44E3-9099-C40C66FF867C}">
                  <a14:compatExt spid="_x0000_s1062084"/>
                </a:ext>
                <a:ext uri="{FF2B5EF4-FFF2-40B4-BE49-F238E27FC236}">
                  <a16:creationId xmlns:a16="http://schemas.microsoft.com/office/drawing/2014/main" id="{00000000-0008-0000-1900-0000C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1062085" name="bpmDropDownFLU974" hidden="1">
              <a:extLst>
                <a:ext uri="{63B3BB69-23CF-44E3-9099-C40C66FF867C}">
                  <a14:compatExt spid="_x0000_s1062085"/>
                </a:ext>
                <a:ext uri="{FF2B5EF4-FFF2-40B4-BE49-F238E27FC236}">
                  <a16:creationId xmlns:a16="http://schemas.microsoft.com/office/drawing/2014/main" id="{00000000-0008-0000-1900-0000C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1062086" name="bpmDropDownFLU975" hidden="1">
              <a:extLst>
                <a:ext uri="{63B3BB69-23CF-44E3-9099-C40C66FF867C}">
                  <a14:compatExt spid="_x0000_s1062086"/>
                </a:ext>
                <a:ext uri="{FF2B5EF4-FFF2-40B4-BE49-F238E27FC236}">
                  <a16:creationId xmlns:a16="http://schemas.microsoft.com/office/drawing/2014/main" id="{00000000-0008-0000-1900-0000C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1062087" name="bpmDropDownFLU976" hidden="1">
              <a:extLst>
                <a:ext uri="{63B3BB69-23CF-44E3-9099-C40C66FF867C}">
                  <a14:compatExt spid="_x0000_s1062087"/>
                </a:ext>
                <a:ext uri="{FF2B5EF4-FFF2-40B4-BE49-F238E27FC236}">
                  <a16:creationId xmlns:a16="http://schemas.microsoft.com/office/drawing/2014/main" id="{00000000-0008-0000-1900-0000C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1062088" name="bpmDropDownFLU977" hidden="1">
              <a:extLst>
                <a:ext uri="{63B3BB69-23CF-44E3-9099-C40C66FF867C}">
                  <a14:compatExt spid="_x0000_s1062088"/>
                </a:ext>
                <a:ext uri="{FF2B5EF4-FFF2-40B4-BE49-F238E27FC236}">
                  <a16:creationId xmlns:a16="http://schemas.microsoft.com/office/drawing/2014/main" id="{00000000-0008-0000-1900-0000C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0</xdr:rowOff>
        </xdr:from>
        <xdr:to>
          <xdr:col>7</xdr:col>
          <xdr:colOff>0</xdr:colOff>
          <xdr:row>148</xdr:row>
          <xdr:rowOff>0</xdr:rowOff>
        </xdr:to>
        <xdr:sp macro="" textlink="">
          <xdr:nvSpPr>
            <xdr:cNvPr id="1062090" name="bpmDropDownFLU1003" hidden="1">
              <a:extLst>
                <a:ext uri="{63B3BB69-23CF-44E3-9099-C40C66FF867C}">
                  <a14:compatExt spid="_x0000_s1062090"/>
                </a:ext>
                <a:ext uri="{FF2B5EF4-FFF2-40B4-BE49-F238E27FC236}">
                  <a16:creationId xmlns:a16="http://schemas.microsoft.com/office/drawing/2014/main" id="{00000000-0008-0000-1900-0000C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7</xdr:col>
          <xdr:colOff>0</xdr:colOff>
          <xdr:row>149</xdr:row>
          <xdr:rowOff>0</xdr:rowOff>
        </xdr:to>
        <xdr:sp macro="" textlink="">
          <xdr:nvSpPr>
            <xdr:cNvPr id="1062091" name="bpmDropDownFLU1004" hidden="1">
              <a:extLst>
                <a:ext uri="{63B3BB69-23CF-44E3-9099-C40C66FF867C}">
                  <a14:compatExt spid="_x0000_s1062091"/>
                </a:ext>
                <a:ext uri="{FF2B5EF4-FFF2-40B4-BE49-F238E27FC236}">
                  <a16:creationId xmlns:a16="http://schemas.microsoft.com/office/drawing/2014/main" id="{00000000-0008-0000-1900-0000C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1062092" name="bpmDropDownFLU1005" hidden="1">
              <a:extLst>
                <a:ext uri="{63B3BB69-23CF-44E3-9099-C40C66FF867C}">
                  <a14:compatExt spid="_x0000_s1062092"/>
                </a:ext>
                <a:ext uri="{FF2B5EF4-FFF2-40B4-BE49-F238E27FC236}">
                  <a16:creationId xmlns:a16="http://schemas.microsoft.com/office/drawing/2014/main" id="{00000000-0008-0000-1900-0000C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1062093" name="bpmDropDownFLU1006" hidden="1">
              <a:extLst>
                <a:ext uri="{63B3BB69-23CF-44E3-9099-C40C66FF867C}">
                  <a14:compatExt spid="_x0000_s1062093"/>
                </a:ext>
                <a:ext uri="{FF2B5EF4-FFF2-40B4-BE49-F238E27FC236}">
                  <a16:creationId xmlns:a16="http://schemas.microsoft.com/office/drawing/2014/main" id="{00000000-0008-0000-1900-0000C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1062094" name="bpmDropDownFLU1007" hidden="1">
              <a:extLst>
                <a:ext uri="{63B3BB69-23CF-44E3-9099-C40C66FF867C}">
                  <a14:compatExt spid="_x0000_s1062094"/>
                </a:ext>
                <a:ext uri="{FF2B5EF4-FFF2-40B4-BE49-F238E27FC236}">
                  <a16:creationId xmlns:a16="http://schemas.microsoft.com/office/drawing/2014/main" id="{00000000-0008-0000-1900-0000C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1062095" name="bpmDropDownFLU1008" hidden="1">
              <a:extLst>
                <a:ext uri="{63B3BB69-23CF-44E3-9099-C40C66FF867C}">
                  <a14:compatExt spid="_x0000_s1062095"/>
                </a:ext>
                <a:ext uri="{FF2B5EF4-FFF2-40B4-BE49-F238E27FC236}">
                  <a16:creationId xmlns:a16="http://schemas.microsoft.com/office/drawing/2014/main" id="{00000000-0008-0000-1900-0000C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1062096" name="bpmDropDownFLU1009" hidden="1">
              <a:extLst>
                <a:ext uri="{63B3BB69-23CF-44E3-9099-C40C66FF867C}">
                  <a14:compatExt spid="_x0000_s1062096"/>
                </a:ext>
                <a:ext uri="{FF2B5EF4-FFF2-40B4-BE49-F238E27FC236}">
                  <a16:creationId xmlns:a16="http://schemas.microsoft.com/office/drawing/2014/main" id="{00000000-0008-0000-1900-0000D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0</xdr:rowOff>
        </xdr:from>
        <xdr:to>
          <xdr:col>7</xdr:col>
          <xdr:colOff>0</xdr:colOff>
          <xdr:row>121</xdr:row>
          <xdr:rowOff>0</xdr:rowOff>
        </xdr:to>
        <xdr:sp macro="" textlink="">
          <xdr:nvSpPr>
            <xdr:cNvPr id="1062097" name="bpmDropDownFLU1010" hidden="1">
              <a:extLst>
                <a:ext uri="{63B3BB69-23CF-44E3-9099-C40C66FF867C}">
                  <a14:compatExt spid="_x0000_s1062097"/>
                </a:ext>
                <a:ext uri="{FF2B5EF4-FFF2-40B4-BE49-F238E27FC236}">
                  <a16:creationId xmlns:a16="http://schemas.microsoft.com/office/drawing/2014/main" id="{00000000-0008-0000-1900-0000D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7</xdr:col>
          <xdr:colOff>0</xdr:colOff>
          <xdr:row>122</xdr:row>
          <xdr:rowOff>0</xdr:rowOff>
        </xdr:to>
        <xdr:sp macro="" textlink="">
          <xdr:nvSpPr>
            <xdr:cNvPr id="1062098" name="bpmDropDownFLU1011" hidden="1">
              <a:extLst>
                <a:ext uri="{63B3BB69-23CF-44E3-9099-C40C66FF867C}">
                  <a14:compatExt spid="_x0000_s1062098"/>
                </a:ext>
                <a:ext uri="{FF2B5EF4-FFF2-40B4-BE49-F238E27FC236}">
                  <a16:creationId xmlns:a16="http://schemas.microsoft.com/office/drawing/2014/main" id="{00000000-0008-0000-1900-0000D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0</xdr:rowOff>
        </xdr:from>
        <xdr:to>
          <xdr:col>7</xdr:col>
          <xdr:colOff>0</xdr:colOff>
          <xdr:row>123</xdr:row>
          <xdr:rowOff>0</xdr:rowOff>
        </xdr:to>
        <xdr:sp macro="" textlink="">
          <xdr:nvSpPr>
            <xdr:cNvPr id="1062099" name="bpmDropDownFLU1012" hidden="1">
              <a:extLst>
                <a:ext uri="{63B3BB69-23CF-44E3-9099-C40C66FF867C}">
                  <a14:compatExt spid="_x0000_s1062099"/>
                </a:ext>
                <a:ext uri="{FF2B5EF4-FFF2-40B4-BE49-F238E27FC236}">
                  <a16:creationId xmlns:a16="http://schemas.microsoft.com/office/drawing/2014/main" id="{00000000-0008-0000-1900-0000D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7</xdr:col>
          <xdr:colOff>0</xdr:colOff>
          <xdr:row>124</xdr:row>
          <xdr:rowOff>0</xdr:rowOff>
        </xdr:to>
        <xdr:sp macro="" textlink="">
          <xdr:nvSpPr>
            <xdr:cNvPr id="1062100" name="bpmDropDownFLU1013" hidden="1">
              <a:extLst>
                <a:ext uri="{63B3BB69-23CF-44E3-9099-C40C66FF867C}">
                  <a14:compatExt spid="_x0000_s1062100"/>
                </a:ext>
                <a:ext uri="{FF2B5EF4-FFF2-40B4-BE49-F238E27FC236}">
                  <a16:creationId xmlns:a16="http://schemas.microsoft.com/office/drawing/2014/main" id="{00000000-0008-0000-1900-0000D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7</xdr:col>
          <xdr:colOff>0</xdr:colOff>
          <xdr:row>125</xdr:row>
          <xdr:rowOff>0</xdr:rowOff>
        </xdr:to>
        <xdr:sp macro="" textlink="">
          <xdr:nvSpPr>
            <xdr:cNvPr id="1062101" name="bpmDropDownFLU1014" hidden="1">
              <a:extLst>
                <a:ext uri="{63B3BB69-23CF-44E3-9099-C40C66FF867C}">
                  <a14:compatExt spid="_x0000_s1062101"/>
                </a:ext>
                <a:ext uri="{FF2B5EF4-FFF2-40B4-BE49-F238E27FC236}">
                  <a16:creationId xmlns:a16="http://schemas.microsoft.com/office/drawing/2014/main" id="{00000000-0008-0000-1900-0000D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7</xdr:col>
          <xdr:colOff>0</xdr:colOff>
          <xdr:row>126</xdr:row>
          <xdr:rowOff>0</xdr:rowOff>
        </xdr:to>
        <xdr:sp macro="" textlink="">
          <xdr:nvSpPr>
            <xdr:cNvPr id="1062102" name="bpmDropDownFLU1015" hidden="1">
              <a:extLst>
                <a:ext uri="{63B3BB69-23CF-44E3-9099-C40C66FF867C}">
                  <a14:compatExt spid="_x0000_s1062102"/>
                </a:ext>
                <a:ext uri="{FF2B5EF4-FFF2-40B4-BE49-F238E27FC236}">
                  <a16:creationId xmlns:a16="http://schemas.microsoft.com/office/drawing/2014/main" id="{00000000-0008-0000-1900-0000D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1062103" name="bpmDropDownFLU1016" hidden="1">
              <a:extLst>
                <a:ext uri="{63B3BB69-23CF-44E3-9099-C40C66FF867C}">
                  <a14:compatExt spid="_x0000_s1062103"/>
                </a:ext>
                <a:ext uri="{FF2B5EF4-FFF2-40B4-BE49-F238E27FC236}">
                  <a16:creationId xmlns:a16="http://schemas.microsoft.com/office/drawing/2014/main" id="{00000000-0008-0000-1900-0000D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1062104" name="bpmDropDownFLU1017" hidden="1">
              <a:extLst>
                <a:ext uri="{63B3BB69-23CF-44E3-9099-C40C66FF867C}">
                  <a14:compatExt spid="_x0000_s1062104"/>
                </a:ext>
                <a:ext uri="{FF2B5EF4-FFF2-40B4-BE49-F238E27FC236}">
                  <a16:creationId xmlns:a16="http://schemas.microsoft.com/office/drawing/2014/main" id="{00000000-0008-0000-1900-0000D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7</xdr:col>
          <xdr:colOff>0</xdr:colOff>
          <xdr:row>129</xdr:row>
          <xdr:rowOff>0</xdr:rowOff>
        </xdr:to>
        <xdr:sp macro="" textlink="">
          <xdr:nvSpPr>
            <xdr:cNvPr id="1062106" name="bpmDropDownFLU1019" hidden="1">
              <a:extLst>
                <a:ext uri="{63B3BB69-23CF-44E3-9099-C40C66FF867C}">
                  <a14:compatExt spid="_x0000_s1062106"/>
                </a:ext>
                <a:ext uri="{FF2B5EF4-FFF2-40B4-BE49-F238E27FC236}">
                  <a16:creationId xmlns:a16="http://schemas.microsoft.com/office/drawing/2014/main" id="{00000000-0008-0000-1900-0000D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1062107" name="bpmDropDownFLU1020" hidden="1">
              <a:extLst>
                <a:ext uri="{63B3BB69-23CF-44E3-9099-C40C66FF867C}">
                  <a14:compatExt spid="_x0000_s1062107"/>
                </a:ext>
                <a:ext uri="{FF2B5EF4-FFF2-40B4-BE49-F238E27FC236}">
                  <a16:creationId xmlns:a16="http://schemas.microsoft.com/office/drawing/2014/main" id="{00000000-0008-0000-1900-0000D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1062108" name="bpmDropDownFLU1021" hidden="1">
              <a:extLst>
                <a:ext uri="{63B3BB69-23CF-44E3-9099-C40C66FF867C}">
                  <a14:compatExt spid="_x0000_s1062108"/>
                </a:ext>
                <a:ext uri="{FF2B5EF4-FFF2-40B4-BE49-F238E27FC236}">
                  <a16:creationId xmlns:a16="http://schemas.microsoft.com/office/drawing/2014/main" id="{00000000-0008-0000-1900-0000D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1062109" name="bpmDropDownFLU1022" hidden="1">
              <a:extLst>
                <a:ext uri="{63B3BB69-23CF-44E3-9099-C40C66FF867C}">
                  <a14:compatExt spid="_x0000_s1062109"/>
                </a:ext>
                <a:ext uri="{FF2B5EF4-FFF2-40B4-BE49-F238E27FC236}">
                  <a16:creationId xmlns:a16="http://schemas.microsoft.com/office/drawing/2014/main" id="{00000000-0008-0000-1900-0000D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1062110" name="bpmDropDownFLU1043" hidden="1">
              <a:extLst>
                <a:ext uri="{63B3BB69-23CF-44E3-9099-C40C66FF867C}">
                  <a14:compatExt spid="_x0000_s1062110"/>
                </a:ext>
                <a:ext uri="{FF2B5EF4-FFF2-40B4-BE49-F238E27FC236}">
                  <a16:creationId xmlns:a16="http://schemas.microsoft.com/office/drawing/2014/main" id="{00000000-0008-0000-1900-0000D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1062111" name="bpmDropDownFLU1044" hidden="1">
              <a:extLst>
                <a:ext uri="{63B3BB69-23CF-44E3-9099-C40C66FF867C}">
                  <a14:compatExt spid="_x0000_s1062111"/>
                </a:ext>
                <a:ext uri="{FF2B5EF4-FFF2-40B4-BE49-F238E27FC236}">
                  <a16:creationId xmlns:a16="http://schemas.microsoft.com/office/drawing/2014/main" id="{00000000-0008-0000-1900-0000D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1062112" name="bpmDropDownFLU1045" hidden="1">
              <a:extLst>
                <a:ext uri="{63B3BB69-23CF-44E3-9099-C40C66FF867C}">
                  <a14:compatExt spid="_x0000_s1062112"/>
                </a:ext>
                <a:ext uri="{FF2B5EF4-FFF2-40B4-BE49-F238E27FC236}">
                  <a16:creationId xmlns:a16="http://schemas.microsoft.com/office/drawing/2014/main" id="{00000000-0008-0000-1900-0000E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1062113" name="bpmDropDownFLU1046" hidden="1">
              <a:extLst>
                <a:ext uri="{63B3BB69-23CF-44E3-9099-C40C66FF867C}">
                  <a14:compatExt spid="_x0000_s1062113"/>
                </a:ext>
                <a:ext uri="{FF2B5EF4-FFF2-40B4-BE49-F238E27FC236}">
                  <a16:creationId xmlns:a16="http://schemas.microsoft.com/office/drawing/2014/main" id="{00000000-0008-0000-1900-0000E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1062114" name="bpmDropDownFLU1047" hidden="1">
              <a:extLst>
                <a:ext uri="{63B3BB69-23CF-44E3-9099-C40C66FF867C}">
                  <a14:compatExt spid="_x0000_s1062114"/>
                </a:ext>
                <a:ext uri="{FF2B5EF4-FFF2-40B4-BE49-F238E27FC236}">
                  <a16:creationId xmlns:a16="http://schemas.microsoft.com/office/drawing/2014/main" id="{00000000-0008-0000-1900-0000E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1062115" name="bpmDropDownFLU1068" hidden="1">
              <a:extLst>
                <a:ext uri="{63B3BB69-23CF-44E3-9099-C40C66FF867C}">
                  <a14:compatExt spid="_x0000_s1062115"/>
                </a:ext>
                <a:ext uri="{FF2B5EF4-FFF2-40B4-BE49-F238E27FC236}">
                  <a16:creationId xmlns:a16="http://schemas.microsoft.com/office/drawing/2014/main" id="{00000000-0008-0000-1900-0000E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1062116" name="bpmDropDownFLU1069" hidden="1">
              <a:extLst>
                <a:ext uri="{63B3BB69-23CF-44E3-9099-C40C66FF867C}">
                  <a14:compatExt spid="_x0000_s1062116"/>
                </a:ext>
                <a:ext uri="{FF2B5EF4-FFF2-40B4-BE49-F238E27FC236}">
                  <a16:creationId xmlns:a16="http://schemas.microsoft.com/office/drawing/2014/main" id="{00000000-0008-0000-1900-0000E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1062117" name="bpmDropDownFLU1070" hidden="1">
              <a:extLst>
                <a:ext uri="{63B3BB69-23CF-44E3-9099-C40C66FF867C}">
                  <a14:compatExt spid="_x0000_s1062117"/>
                </a:ext>
                <a:ext uri="{FF2B5EF4-FFF2-40B4-BE49-F238E27FC236}">
                  <a16:creationId xmlns:a16="http://schemas.microsoft.com/office/drawing/2014/main" id="{00000000-0008-0000-1900-0000E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1062118" name="bpmDropDownFLU1071" hidden="1">
              <a:extLst>
                <a:ext uri="{63B3BB69-23CF-44E3-9099-C40C66FF867C}">
                  <a14:compatExt spid="_x0000_s1062118"/>
                </a:ext>
                <a:ext uri="{FF2B5EF4-FFF2-40B4-BE49-F238E27FC236}">
                  <a16:creationId xmlns:a16="http://schemas.microsoft.com/office/drawing/2014/main" id="{00000000-0008-0000-1900-0000E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7</xdr:col>
          <xdr:colOff>0</xdr:colOff>
          <xdr:row>108</xdr:row>
          <xdr:rowOff>0</xdr:rowOff>
        </xdr:to>
        <xdr:sp macro="" textlink="">
          <xdr:nvSpPr>
            <xdr:cNvPr id="1062119" name="bpmDropDownFLU1072" hidden="1">
              <a:extLst>
                <a:ext uri="{63B3BB69-23CF-44E3-9099-C40C66FF867C}">
                  <a14:compatExt spid="_x0000_s1062119"/>
                </a:ext>
                <a:ext uri="{FF2B5EF4-FFF2-40B4-BE49-F238E27FC236}">
                  <a16:creationId xmlns:a16="http://schemas.microsoft.com/office/drawing/2014/main" id="{00000000-0008-0000-1900-0000E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1062120" name="bpmDropDownFLU1073" hidden="1">
              <a:extLst>
                <a:ext uri="{63B3BB69-23CF-44E3-9099-C40C66FF867C}">
                  <a14:compatExt spid="_x0000_s1062120"/>
                </a:ext>
                <a:ext uri="{FF2B5EF4-FFF2-40B4-BE49-F238E27FC236}">
                  <a16:creationId xmlns:a16="http://schemas.microsoft.com/office/drawing/2014/main" id="{00000000-0008-0000-1900-0000E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7</xdr:col>
          <xdr:colOff>0</xdr:colOff>
          <xdr:row>110</xdr:row>
          <xdr:rowOff>0</xdr:rowOff>
        </xdr:to>
        <xdr:sp macro="" textlink="">
          <xdr:nvSpPr>
            <xdr:cNvPr id="1062122" name="bpmDropDownFLU1075" hidden="1">
              <a:extLst>
                <a:ext uri="{63B3BB69-23CF-44E3-9099-C40C66FF867C}">
                  <a14:compatExt spid="_x0000_s1062122"/>
                </a:ext>
                <a:ext uri="{FF2B5EF4-FFF2-40B4-BE49-F238E27FC236}">
                  <a16:creationId xmlns:a16="http://schemas.microsoft.com/office/drawing/2014/main" id="{00000000-0008-0000-1900-0000E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7</xdr:col>
          <xdr:colOff>0</xdr:colOff>
          <xdr:row>111</xdr:row>
          <xdr:rowOff>0</xdr:rowOff>
        </xdr:to>
        <xdr:sp macro="" textlink="">
          <xdr:nvSpPr>
            <xdr:cNvPr id="1062123" name="bpmDropDownFLU1076" hidden="1">
              <a:extLst>
                <a:ext uri="{63B3BB69-23CF-44E3-9099-C40C66FF867C}">
                  <a14:compatExt spid="_x0000_s1062123"/>
                </a:ext>
                <a:ext uri="{FF2B5EF4-FFF2-40B4-BE49-F238E27FC236}">
                  <a16:creationId xmlns:a16="http://schemas.microsoft.com/office/drawing/2014/main" id="{00000000-0008-0000-1900-0000E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1062124" name="bpmDropDownFLU1077" hidden="1">
              <a:extLst>
                <a:ext uri="{63B3BB69-23CF-44E3-9099-C40C66FF867C}">
                  <a14:compatExt spid="_x0000_s1062124"/>
                </a:ext>
                <a:ext uri="{FF2B5EF4-FFF2-40B4-BE49-F238E27FC236}">
                  <a16:creationId xmlns:a16="http://schemas.microsoft.com/office/drawing/2014/main" id="{00000000-0008-0000-1900-0000E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1062125" name="bpmDropDownFLU1078" hidden="1">
              <a:extLst>
                <a:ext uri="{63B3BB69-23CF-44E3-9099-C40C66FF867C}">
                  <a14:compatExt spid="_x0000_s1062125"/>
                </a:ext>
                <a:ext uri="{FF2B5EF4-FFF2-40B4-BE49-F238E27FC236}">
                  <a16:creationId xmlns:a16="http://schemas.microsoft.com/office/drawing/2014/main" id="{00000000-0008-0000-1900-0000E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1062126" name="bpmDropDownFLU1079" hidden="1">
              <a:extLst>
                <a:ext uri="{63B3BB69-23CF-44E3-9099-C40C66FF867C}">
                  <a14:compatExt spid="_x0000_s1062126"/>
                </a:ext>
                <a:ext uri="{FF2B5EF4-FFF2-40B4-BE49-F238E27FC236}">
                  <a16:creationId xmlns:a16="http://schemas.microsoft.com/office/drawing/2014/main" id="{00000000-0008-0000-1900-0000E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1062127" name="bpmDropDownFLU1080" hidden="1">
              <a:extLst>
                <a:ext uri="{63B3BB69-23CF-44E3-9099-C40C66FF867C}">
                  <a14:compatExt spid="_x0000_s1062127"/>
                </a:ext>
                <a:ext uri="{FF2B5EF4-FFF2-40B4-BE49-F238E27FC236}">
                  <a16:creationId xmlns:a16="http://schemas.microsoft.com/office/drawing/2014/main" id="{00000000-0008-0000-1900-0000E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1062128" name="bpmDropDownFLU1081" hidden="1">
              <a:extLst>
                <a:ext uri="{63B3BB69-23CF-44E3-9099-C40C66FF867C}">
                  <a14:compatExt spid="_x0000_s1062128"/>
                </a:ext>
                <a:ext uri="{FF2B5EF4-FFF2-40B4-BE49-F238E27FC236}">
                  <a16:creationId xmlns:a16="http://schemas.microsoft.com/office/drawing/2014/main" id="{00000000-0008-0000-1900-0000F0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1062129" name="bpmDropDownFLU1082" hidden="1">
              <a:extLst>
                <a:ext uri="{63B3BB69-23CF-44E3-9099-C40C66FF867C}">
                  <a14:compatExt spid="_x0000_s1062129"/>
                </a:ext>
                <a:ext uri="{FF2B5EF4-FFF2-40B4-BE49-F238E27FC236}">
                  <a16:creationId xmlns:a16="http://schemas.microsoft.com/office/drawing/2014/main" id="{00000000-0008-0000-1900-0000F1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1062130" name="bpmDropDownFLU1083" hidden="1">
              <a:extLst>
                <a:ext uri="{63B3BB69-23CF-44E3-9099-C40C66FF867C}">
                  <a14:compatExt spid="_x0000_s1062130"/>
                </a:ext>
                <a:ext uri="{FF2B5EF4-FFF2-40B4-BE49-F238E27FC236}">
                  <a16:creationId xmlns:a16="http://schemas.microsoft.com/office/drawing/2014/main" id="{00000000-0008-0000-1900-0000F2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1062131" name="bpmDropDownFLU1084" hidden="1">
              <a:extLst>
                <a:ext uri="{63B3BB69-23CF-44E3-9099-C40C66FF867C}">
                  <a14:compatExt spid="_x0000_s1062131"/>
                </a:ext>
                <a:ext uri="{FF2B5EF4-FFF2-40B4-BE49-F238E27FC236}">
                  <a16:creationId xmlns:a16="http://schemas.microsoft.com/office/drawing/2014/main" id="{00000000-0008-0000-1900-0000F3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0</xdr:rowOff>
        </xdr:to>
        <xdr:sp macro="" textlink="">
          <xdr:nvSpPr>
            <xdr:cNvPr id="1062132" name="bpmDropDownFLU1085" hidden="1">
              <a:extLst>
                <a:ext uri="{63B3BB69-23CF-44E3-9099-C40C66FF867C}">
                  <a14:compatExt spid="_x0000_s1062132"/>
                </a:ext>
                <a:ext uri="{FF2B5EF4-FFF2-40B4-BE49-F238E27FC236}">
                  <a16:creationId xmlns:a16="http://schemas.microsoft.com/office/drawing/2014/main" id="{00000000-0008-0000-1900-0000F4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1062133" name="bpmDropDownFLU1086" hidden="1">
              <a:extLst>
                <a:ext uri="{63B3BB69-23CF-44E3-9099-C40C66FF867C}">
                  <a14:compatExt spid="_x0000_s1062133"/>
                </a:ext>
                <a:ext uri="{FF2B5EF4-FFF2-40B4-BE49-F238E27FC236}">
                  <a16:creationId xmlns:a16="http://schemas.microsoft.com/office/drawing/2014/main" id="{00000000-0008-0000-1900-0000F5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1062134" name="bpmDropDownFLU1087" hidden="1">
              <a:extLst>
                <a:ext uri="{63B3BB69-23CF-44E3-9099-C40C66FF867C}">
                  <a14:compatExt spid="_x0000_s1062134"/>
                </a:ext>
                <a:ext uri="{FF2B5EF4-FFF2-40B4-BE49-F238E27FC236}">
                  <a16:creationId xmlns:a16="http://schemas.microsoft.com/office/drawing/2014/main" id="{00000000-0008-0000-1900-0000F6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0</xdr:rowOff>
        </xdr:to>
        <xdr:sp macro="" textlink="">
          <xdr:nvSpPr>
            <xdr:cNvPr id="1062135" name="bpmDropDownFLU1088" hidden="1">
              <a:extLst>
                <a:ext uri="{63B3BB69-23CF-44E3-9099-C40C66FF867C}">
                  <a14:compatExt spid="_x0000_s1062135"/>
                </a:ext>
                <a:ext uri="{FF2B5EF4-FFF2-40B4-BE49-F238E27FC236}">
                  <a16:creationId xmlns:a16="http://schemas.microsoft.com/office/drawing/2014/main" id="{00000000-0008-0000-1900-0000F7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9</xdr:col>
          <xdr:colOff>0</xdr:colOff>
          <xdr:row>109</xdr:row>
          <xdr:rowOff>0</xdr:rowOff>
        </xdr:to>
        <xdr:sp macro="" textlink="">
          <xdr:nvSpPr>
            <xdr:cNvPr id="1062136" name="bpmDropDownFLU1089" hidden="1">
              <a:extLst>
                <a:ext uri="{63B3BB69-23CF-44E3-9099-C40C66FF867C}">
                  <a14:compatExt spid="_x0000_s1062136"/>
                </a:ext>
                <a:ext uri="{FF2B5EF4-FFF2-40B4-BE49-F238E27FC236}">
                  <a16:creationId xmlns:a16="http://schemas.microsoft.com/office/drawing/2014/main" id="{00000000-0008-0000-1900-0000F8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9</xdr:col>
          <xdr:colOff>0</xdr:colOff>
          <xdr:row>110</xdr:row>
          <xdr:rowOff>0</xdr:rowOff>
        </xdr:to>
        <xdr:sp macro="" textlink="">
          <xdr:nvSpPr>
            <xdr:cNvPr id="1062138" name="bpmDropDownFLU1091" hidden="1">
              <a:extLst>
                <a:ext uri="{63B3BB69-23CF-44E3-9099-C40C66FF867C}">
                  <a14:compatExt spid="_x0000_s1062138"/>
                </a:ext>
                <a:ext uri="{FF2B5EF4-FFF2-40B4-BE49-F238E27FC236}">
                  <a16:creationId xmlns:a16="http://schemas.microsoft.com/office/drawing/2014/main" id="{00000000-0008-0000-1900-0000FA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0</xdr:rowOff>
        </xdr:from>
        <xdr:to>
          <xdr:col>9</xdr:col>
          <xdr:colOff>0</xdr:colOff>
          <xdr:row>111</xdr:row>
          <xdr:rowOff>0</xdr:rowOff>
        </xdr:to>
        <xdr:sp macro="" textlink="">
          <xdr:nvSpPr>
            <xdr:cNvPr id="1062139" name="bpmDropDownFLU1092" hidden="1">
              <a:extLst>
                <a:ext uri="{63B3BB69-23CF-44E3-9099-C40C66FF867C}">
                  <a14:compatExt spid="_x0000_s1062139"/>
                </a:ext>
                <a:ext uri="{FF2B5EF4-FFF2-40B4-BE49-F238E27FC236}">
                  <a16:creationId xmlns:a16="http://schemas.microsoft.com/office/drawing/2014/main" id="{00000000-0008-0000-1900-0000FB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111</xdr:row>
          <xdr:rowOff>0</xdr:rowOff>
        </xdr:from>
        <xdr:to>
          <xdr:col>9</xdr:col>
          <xdr:colOff>0</xdr:colOff>
          <xdr:row>112</xdr:row>
          <xdr:rowOff>0</xdr:rowOff>
        </xdr:to>
        <xdr:sp macro="" textlink="">
          <xdr:nvSpPr>
            <xdr:cNvPr id="1062140" name="bpmDropDownFLU1102" hidden="1">
              <a:extLst>
                <a:ext uri="{63B3BB69-23CF-44E3-9099-C40C66FF867C}">
                  <a14:compatExt spid="_x0000_s1062140"/>
                </a:ext>
                <a:ext uri="{FF2B5EF4-FFF2-40B4-BE49-F238E27FC236}">
                  <a16:creationId xmlns:a16="http://schemas.microsoft.com/office/drawing/2014/main" id="{00000000-0008-0000-1900-0000FC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9</xdr:col>
          <xdr:colOff>0</xdr:colOff>
          <xdr:row>113</xdr:row>
          <xdr:rowOff>0</xdr:rowOff>
        </xdr:to>
        <xdr:sp macro="" textlink="">
          <xdr:nvSpPr>
            <xdr:cNvPr id="1062141" name="bpmDropDownFLU1103" hidden="1">
              <a:extLst>
                <a:ext uri="{63B3BB69-23CF-44E3-9099-C40C66FF867C}">
                  <a14:compatExt spid="_x0000_s1062141"/>
                </a:ext>
                <a:ext uri="{FF2B5EF4-FFF2-40B4-BE49-F238E27FC236}">
                  <a16:creationId xmlns:a16="http://schemas.microsoft.com/office/drawing/2014/main" id="{00000000-0008-0000-1900-0000FD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0</xdr:rowOff>
        </xdr:from>
        <xdr:to>
          <xdr:col>9</xdr:col>
          <xdr:colOff>0</xdr:colOff>
          <xdr:row>114</xdr:row>
          <xdr:rowOff>0</xdr:rowOff>
        </xdr:to>
        <xdr:sp macro="" textlink="">
          <xdr:nvSpPr>
            <xdr:cNvPr id="1062142" name="bpmDropDownFLU1104" hidden="1">
              <a:extLst>
                <a:ext uri="{63B3BB69-23CF-44E3-9099-C40C66FF867C}">
                  <a14:compatExt spid="_x0000_s1062142"/>
                </a:ext>
                <a:ext uri="{FF2B5EF4-FFF2-40B4-BE49-F238E27FC236}">
                  <a16:creationId xmlns:a16="http://schemas.microsoft.com/office/drawing/2014/main" id="{00000000-0008-0000-1900-0000FE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114</xdr:row>
          <xdr:rowOff>0</xdr:rowOff>
        </xdr:from>
        <xdr:to>
          <xdr:col>9</xdr:col>
          <xdr:colOff>0</xdr:colOff>
          <xdr:row>115</xdr:row>
          <xdr:rowOff>0</xdr:rowOff>
        </xdr:to>
        <xdr:sp macro="" textlink="">
          <xdr:nvSpPr>
            <xdr:cNvPr id="1062143" name="bpmDropDownFLU1105" hidden="1">
              <a:extLst>
                <a:ext uri="{63B3BB69-23CF-44E3-9099-C40C66FF867C}">
                  <a14:compatExt spid="_x0000_s1062143"/>
                </a:ext>
                <a:ext uri="{FF2B5EF4-FFF2-40B4-BE49-F238E27FC236}">
                  <a16:creationId xmlns:a16="http://schemas.microsoft.com/office/drawing/2014/main" id="{00000000-0008-0000-1900-0000FF34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0</xdr:rowOff>
        </xdr:from>
        <xdr:to>
          <xdr:col>9</xdr:col>
          <xdr:colOff>0</xdr:colOff>
          <xdr:row>116</xdr:row>
          <xdr:rowOff>0</xdr:rowOff>
        </xdr:to>
        <xdr:sp macro="" textlink="">
          <xdr:nvSpPr>
            <xdr:cNvPr id="1062144" name="bpmDropDownFLU1106" hidden="1">
              <a:extLst>
                <a:ext uri="{63B3BB69-23CF-44E3-9099-C40C66FF867C}">
                  <a14:compatExt spid="_x0000_s1062144"/>
                </a:ext>
                <a:ext uri="{FF2B5EF4-FFF2-40B4-BE49-F238E27FC236}">
                  <a16:creationId xmlns:a16="http://schemas.microsoft.com/office/drawing/2014/main" id="{00000000-0008-0000-1900-00000035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7</xdr:col>
          <xdr:colOff>0</xdr:colOff>
          <xdr:row>32</xdr:row>
          <xdr:rowOff>0</xdr:rowOff>
        </xdr:to>
        <xdr:sp macro="" textlink="">
          <xdr:nvSpPr>
            <xdr:cNvPr id="278546" name="bpmDropDownFLU183" hidden="1">
              <a:extLst>
                <a:ext uri="{63B3BB69-23CF-44E3-9099-C40C66FF867C}">
                  <a14:compatExt spid="_x0000_s278546"/>
                </a:ext>
                <a:ext uri="{FF2B5EF4-FFF2-40B4-BE49-F238E27FC236}">
                  <a16:creationId xmlns:a16="http://schemas.microsoft.com/office/drawing/2014/main" id="{00000000-0008-0000-1A00-00001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7</xdr:col>
          <xdr:colOff>0</xdr:colOff>
          <xdr:row>33</xdr:row>
          <xdr:rowOff>0</xdr:rowOff>
        </xdr:to>
        <xdr:sp macro="" textlink="">
          <xdr:nvSpPr>
            <xdr:cNvPr id="278547" name="bpmDropDownFLU184" hidden="1">
              <a:extLst>
                <a:ext uri="{63B3BB69-23CF-44E3-9099-C40C66FF867C}">
                  <a14:compatExt spid="_x0000_s278547"/>
                </a:ext>
                <a:ext uri="{FF2B5EF4-FFF2-40B4-BE49-F238E27FC236}">
                  <a16:creationId xmlns:a16="http://schemas.microsoft.com/office/drawing/2014/main" id="{00000000-0008-0000-1A00-00001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7</xdr:col>
          <xdr:colOff>0</xdr:colOff>
          <xdr:row>34</xdr:row>
          <xdr:rowOff>0</xdr:rowOff>
        </xdr:to>
        <xdr:sp macro="" textlink="">
          <xdr:nvSpPr>
            <xdr:cNvPr id="278548" name="bpmDropDownFLU185" hidden="1">
              <a:extLst>
                <a:ext uri="{63B3BB69-23CF-44E3-9099-C40C66FF867C}">
                  <a14:compatExt spid="_x0000_s278548"/>
                </a:ext>
                <a:ext uri="{FF2B5EF4-FFF2-40B4-BE49-F238E27FC236}">
                  <a16:creationId xmlns:a16="http://schemas.microsoft.com/office/drawing/2014/main" id="{00000000-0008-0000-1A00-00001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278549" name="bpmDropDownFLU186" hidden="1">
              <a:extLst>
                <a:ext uri="{63B3BB69-23CF-44E3-9099-C40C66FF867C}">
                  <a14:compatExt spid="_x0000_s278549"/>
                </a:ext>
                <a:ext uri="{FF2B5EF4-FFF2-40B4-BE49-F238E27FC236}">
                  <a16:creationId xmlns:a16="http://schemas.microsoft.com/office/drawing/2014/main" id="{00000000-0008-0000-1A00-00001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278550" name="bpmDropDownFLU187" hidden="1">
              <a:extLst>
                <a:ext uri="{63B3BB69-23CF-44E3-9099-C40C66FF867C}">
                  <a14:compatExt spid="_x0000_s278550"/>
                </a:ext>
                <a:ext uri="{FF2B5EF4-FFF2-40B4-BE49-F238E27FC236}">
                  <a16:creationId xmlns:a16="http://schemas.microsoft.com/office/drawing/2014/main" id="{00000000-0008-0000-1A00-00001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278551" name="bpmDropDownFLU188" hidden="1">
              <a:extLst>
                <a:ext uri="{63B3BB69-23CF-44E3-9099-C40C66FF867C}">
                  <a14:compatExt spid="_x0000_s278551"/>
                </a:ext>
                <a:ext uri="{FF2B5EF4-FFF2-40B4-BE49-F238E27FC236}">
                  <a16:creationId xmlns:a16="http://schemas.microsoft.com/office/drawing/2014/main" id="{00000000-0008-0000-1A00-000017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278552" name="bpmDropDownFLU189" hidden="1">
              <a:extLst>
                <a:ext uri="{63B3BB69-23CF-44E3-9099-C40C66FF867C}">
                  <a14:compatExt spid="_x0000_s278552"/>
                </a:ext>
                <a:ext uri="{FF2B5EF4-FFF2-40B4-BE49-F238E27FC236}">
                  <a16:creationId xmlns:a16="http://schemas.microsoft.com/office/drawing/2014/main" id="{00000000-0008-0000-1A00-00001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278553" name="bpmDropDownFLU190" hidden="1">
              <a:extLst>
                <a:ext uri="{63B3BB69-23CF-44E3-9099-C40C66FF867C}">
                  <a14:compatExt spid="_x0000_s278553"/>
                </a:ext>
                <a:ext uri="{FF2B5EF4-FFF2-40B4-BE49-F238E27FC236}">
                  <a16:creationId xmlns:a16="http://schemas.microsoft.com/office/drawing/2014/main" id="{00000000-0008-0000-1A00-00001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278554" name="bpmDropDownFLU191" hidden="1">
              <a:extLst>
                <a:ext uri="{63B3BB69-23CF-44E3-9099-C40C66FF867C}">
                  <a14:compatExt spid="_x0000_s278554"/>
                </a:ext>
                <a:ext uri="{FF2B5EF4-FFF2-40B4-BE49-F238E27FC236}">
                  <a16:creationId xmlns:a16="http://schemas.microsoft.com/office/drawing/2014/main" id="{00000000-0008-0000-1A00-00001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278555" name="bpmDropDownFLU192" hidden="1">
              <a:extLst>
                <a:ext uri="{63B3BB69-23CF-44E3-9099-C40C66FF867C}">
                  <a14:compatExt spid="_x0000_s278555"/>
                </a:ext>
                <a:ext uri="{FF2B5EF4-FFF2-40B4-BE49-F238E27FC236}">
                  <a16:creationId xmlns:a16="http://schemas.microsoft.com/office/drawing/2014/main" id="{00000000-0008-0000-1A00-00001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7</xdr:col>
          <xdr:colOff>0</xdr:colOff>
          <xdr:row>55</xdr:row>
          <xdr:rowOff>0</xdr:rowOff>
        </xdr:to>
        <xdr:sp macro="" textlink="">
          <xdr:nvSpPr>
            <xdr:cNvPr id="278556" name="bpmDropDownFLU193" hidden="1">
              <a:extLst>
                <a:ext uri="{63B3BB69-23CF-44E3-9099-C40C66FF867C}">
                  <a14:compatExt spid="_x0000_s278556"/>
                </a:ext>
                <a:ext uri="{FF2B5EF4-FFF2-40B4-BE49-F238E27FC236}">
                  <a16:creationId xmlns:a16="http://schemas.microsoft.com/office/drawing/2014/main" id="{00000000-0008-0000-1A00-00001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278557" name="bpmDropDownFLU194" hidden="1">
              <a:extLst>
                <a:ext uri="{63B3BB69-23CF-44E3-9099-C40C66FF867C}">
                  <a14:compatExt spid="_x0000_s278557"/>
                </a:ext>
                <a:ext uri="{FF2B5EF4-FFF2-40B4-BE49-F238E27FC236}">
                  <a16:creationId xmlns:a16="http://schemas.microsoft.com/office/drawing/2014/main" id="{00000000-0008-0000-1A00-00001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278558" name="bpmDropDownFLU195" hidden="1">
              <a:extLst>
                <a:ext uri="{63B3BB69-23CF-44E3-9099-C40C66FF867C}">
                  <a14:compatExt spid="_x0000_s278558"/>
                </a:ext>
                <a:ext uri="{FF2B5EF4-FFF2-40B4-BE49-F238E27FC236}">
                  <a16:creationId xmlns:a16="http://schemas.microsoft.com/office/drawing/2014/main" id="{00000000-0008-0000-1A00-00001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278559" name="bpmDropDownFLU196" hidden="1">
              <a:extLst>
                <a:ext uri="{63B3BB69-23CF-44E3-9099-C40C66FF867C}">
                  <a14:compatExt spid="_x0000_s278559"/>
                </a:ext>
                <a:ext uri="{FF2B5EF4-FFF2-40B4-BE49-F238E27FC236}">
                  <a16:creationId xmlns:a16="http://schemas.microsoft.com/office/drawing/2014/main" id="{00000000-0008-0000-1A00-00001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278560" name="bpmDropDownFLU197" hidden="1">
              <a:extLst>
                <a:ext uri="{63B3BB69-23CF-44E3-9099-C40C66FF867C}">
                  <a14:compatExt spid="_x0000_s278560"/>
                </a:ext>
                <a:ext uri="{FF2B5EF4-FFF2-40B4-BE49-F238E27FC236}">
                  <a16:creationId xmlns:a16="http://schemas.microsoft.com/office/drawing/2014/main" id="{00000000-0008-0000-1A00-00002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278561" name="bpmDropDownFLU198" hidden="1">
              <a:extLst>
                <a:ext uri="{63B3BB69-23CF-44E3-9099-C40C66FF867C}">
                  <a14:compatExt spid="_x0000_s278561"/>
                </a:ext>
                <a:ext uri="{FF2B5EF4-FFF2-40B4-BE49-F238E27FC236}">
                  <a16:creationId xmlns:a16="http://schemas.microsoft.com/office/drawing/2014/main" id="{00000000-0008-0000-1A00-00002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278562" name="bpmDropDownFLU199" hidden="1">
              <a:extLst>
                <a:ext uri="{63B3BB69-23CF-44E3-9099-C40C66FF867C}">
                  <a14:compatExt spid="_x0000_s278562"/>
                </a:ext>
                <a:ext uri="{FF2B5EF4-FFF2-40B4-BE49-F238E27FC236}">
                  <a16:creationId xmlns:a16="http://schemas.microsoft.com/office/drawing/2014/main" id="{00000000-0008-0000-1A00-00002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278563" name="bpmDropDownFLU200" hidden="1">
              <a:extLst>
                <a:ext uri="{63B3BB69-23CF-44E3-9099-C40C66FF867C}">
                  <a14:compatExt spid="_x0000_s278563"/>
                </a:ext>
                <a:ext uri="{FF2B5EF4-FFF2-40B4-BE49-F238E27FC236}">
                  <a16:creationId xmlns:a16="http://schemas.microsoft.com/office/drawing/2014/main" id="{00000000-0008-0000-1A00-00002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278564" name="bpmDropDownFLU201" hidden="1">
              <a:extLst>
                <a:ext uri="{63B3BB69-23CF-44E3-9099-C40C66FF867C}">
                  <a14:compatExt spid="_x0000_s278564"/>
                </a:ext>
                <a:ext uri="{FF2B5EF4-FFF2-40B4-BE49-F238E27FC236}">
                  <a16:creationId xmlns:a16="http://schemas.microsoft.com/office/drawing/2014/main" id="{00000000-0008-0000-1A00-00002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278571" name="bpmDropDownFLU208" hidden="1">
              <a:extLst>
                <a:ext uri="{63B3BB69-23CF-44E3-9099-C40C66FF867C}">
                  <a14:compatExt spid="_x0000_s278571"/>
                </a:ext>
                <a:ext uri="{FF2B5EF4-FFF2-40B4-BE49-F238E27FC236}">
                  <a16:creationId xmlns:a16="http://schemas.microsoft.com/office/drawing/2014/main" id="{00000000-0008-0000-1A00-00002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7</xdr:col>
          <xdr:colOff>0</xdr:colOff>
          <xdr:row>86</xdr:row>
          <xdr:rowOff>0</xdr:rowOff>
        </xdr:to>
        <xdr:sp macro="" textlink="">
          <xdr:nvSpPr>
            <xdr:cNvPr id="278572" name="bpmDropDownFLU209" hidden="1">
              <a:extLst>
                <a:ext uri="{63B3BB69-23CF-44E3-9099-C40C66FF867C}">
                  <a14:compatExt spid="_x0000_s278572"/>
                </a:ext>
                <a:ext uri="{FF2B5EF4-FFF2-40B4-BE49-F238E27FC236}">
                  <a16:creationId xmlns:a16="http://schemas.microsoft.com/office/drawing/2014/main" id="{00000000-0008-0000-1A00-00002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278573" name="bpmDropDownFLU210" hidden="1">
              <a:extLst>
                <a:ext uri="{63B3BB69-23CF-44E3-9099-C40C66FF867C}">
                  <a14:compatExt spid="_x0000_s278573"/>
                </a:ext>
                <a:ext uri="{FF2B5EF4-FFF2-40B4-BE49-F238E27FC236}">
                  <a16:creationId xmlns:a16="http://schemas.microsoft.com/office/drawing/2014/main" id="{00000000-0008-0000-1A00-00002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278574" name="bpmDropDownFLU211" hidden="1">
              <a:extLst>
                <a:ext uri="{63B3BB69-23CF-44E3-9099-C40C66FF867C}">
                  <a14:compatExt spid="_x0000_s278574"/>
                </a:ext>
                <a:ext uri="{FF2B5EF4-FFF2-40B4-BE49-F238E27FC236}">
                  <a16:creationId xmlns:a16="http://schemas.microsoft.com/office/drawing/2014/main" id="{00000000-0008-0000-1A00-00002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7</xdr:col>
          <xdr:colOff>0</xdr:colOff>
          <xdr:row>89</xdr:row>
          <xdr:rowOff>0</xdr:rowOff>
        </xdr:to>
        <xdr:sp macro="" textlink="">
          <xdr:nvSpPr>
            <xdr:cNvPr id="278575" name="bpmDropDownFLU212" hidden="1">
              <a:extLst>
                <a:ext uri="{63B3BB69-23CF-44E3-9099-C40C66FF867C}">
                  <a14:compatExt spid="_x0000_s278575"/>
                </a:ext>
                <a:ext uri="{FF2B5EF4-FFF2-40B4-BE49-F238E27FC236}">
                  <a16:creationId xmlns:a16="http://schemas.microsoft.com/office/drawing/2014/main" id="{00000000-0008-0000-1A00-00002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7</xdr:col>
          <xdr:colOff>0</xdr:colOff>
          <xdr:row>90</xdr:row>
          <xdr:rowOff>0</xdr:rowOff>
        </xdr:to>
        <xdr:sp macro="" textlink="">
          <xdr:nvSpPr>
            <xdr:cNvPr id="278576" name="bpmDropDownFLU213" hidden="1">
              <a:extLst>
                <a:ext uri="{63B3BB69-23CF-44E3-9099-C40C66FF867C}">
                  <a14:compatExt spid="_x0000_s278576"/>
                </a:ext>
                <a:ext uri="{FF2B5EF4-FFF2-40B4-BE49-F238E27FC236}">
                  <a16:creationId xmlns:a16="http://schemas.microsoft.com/office/drawing/2014/main" id="{00000000-0008-0000-1A00-00003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7</xdr:col>
          <xdr:colOff>0</xdr:colOff>
          <xdr:row>95</xdr:row>
          <xdr:rowOff>0</xdr:rowOff>
        </xdr:to>
        <xdr:sp macro="" textlink="">
          <xdr:nvSpPr>
            <xdr:cNvPr id="278577" name="bpmDropDownFLU214" hidden="1">
              <a:extLst>
                <a:ext uri="{63B3BB69-23CF-44E3-9099-C40C66FF867C}">
                  <a14:compatExt spid="_x0000_s278577"/>
                </a:ext>
                <a:ext uri="{FF2B5EF4-FFF2-40B4-BE49-F238E27FC236}">
                  <a16:creationId xmlns:a16="http://schemas.microsoft.com/office/drawing/2014/main" id="{00000000-0008-0000-1A00-00003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0</xdr:rowOff>
        </xdr:from>
        <xdr:to>
          <xdr:col>7</xdr:col>
          <xdr:colOff>0</xdr:colOff>
          <xdr:row>96</xdr:row>
          <xdr:rowOff>0</xdr:rowOff>
        </xdr:to>
        <xdr:sp macro="" textlink="">
          <xdr:nvSpPr>
            <xdr:cNvPr id="278578" name="bpmDropDownFLU215" hidden="1">
              <a:extLst>
                <a:ext uri="{63B3BB69-23CF-44E3-9099-C40C66FF867C}">
                  <a14:compatExt spid="_x0000_s278578"/>
                </a:ext>
                <a:ext uri="{FF2B5EF4-FFF2-40B4-BE49-F238E27FC236}">
                  <a16:creationId xmlns:a16="http://schemas.microsoft.com/office/drawing/2014/main" id="{00000000-0008-0000-1A00-00003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7</xdr:col>
          <xdr:colOff>0</xdr:colOff>
          <xdr:row>97</xdr:row>
          <xdr:rowOff>0</xdr:rowOff>
        </xdr:to>
        <xdr:sp macro="" textlink="">
          <xdr:nvSpPr>
            <xdr:cNvPr id="278579" name="bpmDropDownFLU216" hidden="1">
              <a:extLst>
                <a:ext uri="{63B3BB69-23CF-44E3-9099-C40C66FF867C}">
                  <a14:compatExt spid="_x0000_s278579"/>
                </a:ext>
                <a:ext uri="{FF2B5EF4-FFF2-40B4-BE49-F238E27FC236}">
                  <a16:creationId xmlns:a16="http://schemas.microsoft.com/office/drawing/2014/main" id="{00000000-0008-0000-1A00-00003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7</xdr:col>
          <xdr:colOff>0</xdr:colOff>
          <xdr:row>98</xdr:row>
          <xdr:rowOff>0</xdr:rowOff>
        </xdr:to>
        <xdr:sp macro="" textlink="">
          <xdr:nvSpPr>
            <xdr:cNvPr id="278580" name="bpmDropDownFLU217" hidden="1">
              <a:extLst>
                <a:ext uri="{63B3BB69-23CF-44E3-9099-C40C66FF867C}">
                  <a14:compatExt spid="_x0000_s278580"/>
                </a:ext>
                <a:ext uri="{FF2B5EF4-FFF2-40B4-BE49-F238E27FC236}">
                  <a16:creationId xmlns:a16="http://schemas.microsoft.com/office/drawing/2014/main" id="{00000000-0008-0000-1A00-00003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7</xdr:col>
          <xdr:colOff>0</xdr:colOff>
          <xdr:row>99</xdr:row>
          <xdr:rowOff>0</xdr:rowOff>
        </xdr:to>
        <xdr:sp macro="" textlink="">
          <xdr:nvSpPr>
            <xdr:cNvPr id="278581" name="bpmDropDownFLU218" hidden="1">
              <a:extLst>
                <a:ext uri="{63B3BB69-23CF-44E3-9099-C40C66FF867C}">
                  <a14:compatExt spid="_x0000_s278581"/>
                </a:ext>
                <a:ext uri="{FF2B5EF4-FFF2-40B4-BE49-F238E27FC236}">
                  <a16:creationId xmlns:a16="http://schemas.microsoft.com/office/drawing/2014/main" id="{00000000-0008-0000-1A00-00003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278582" name="bpmDropDownFLU219" hidden="1">
              <a:extLst>
                <a:ext uri="{63B3BB69-23CF-44E3-9099-C40C66FF867C}">
                  <a14:compatExt spid="_x0000_s278582"/>
                </a:ext>
                <a:ext uri="{FF2B5EF4-FFF2-40B4-BE49-F238E27FC236}">
                  <a16:creationId xmlns:a16="http://schemas.microsoft.com/office/drawing/2014/main" id="{00000000-0008-0000-1A00-00003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278583" name="bpmDropDownFLU220" hidden="1">
              <a:extLst>
                <a:ext uri="{63B3BB69-23CF-44E3-9099-C40C66FF867C}">
                  <a14:compatExt spid="_x0000_s278583"/>
                </a:ext>
                <a:ext uri="{FF2B5EF4-FFF2-40B4-BE49-F238E27FC236}">
                  <a16:creationId xmlns:a16="http://schemas.microsoft.com/office/drawing/2014/main" id="{00000000-0008-0000-1A00-000037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7</xdr:col>
          <xdr:colOff>0</xdr:colOff>
          <xdr:row>110</xdr:row>
          <xdr:rowOff>0</xdr:rowOff>
        </xdr:to>
        <xdr:sp macro="" textlink="">
          <xdr:nvSpPr>
            <xdr:cNvPr id="278584" name="bpmDropDownFLU221" hidden="1">
              <a:extLst>
                <a:ext uri="{63B3BB69-23CF-44E3-9099-C40C66FF867C}">
                  <a14:compatExt spid="_x0000_s278584"/>
                </a:ext>
                <a:ext uri="{FF2B5EF4-FFF2-40B4-BE49-F238E27FC236}">
                  <a16:creationId xmlns:a16="http://schemas.microsoft.com/office/drawing/2014/main" id="{00000000-0008-0000-1A00-00003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7</xdr:col>
          <xdr:colOff>0</xdr:colOff>
          <xdr:row>111</xdr:row>
          <xdr:rowOff>0</xdr:rowOff>
        </xdr:to>
        <xdr:sp macro="" textlink="">
          <xdr:nvSpPr>
            <xdr:cNvPr id="278585" name="bpmDropDownFLU222" hidden="1">
              <a:extLst>
                <a:ext uri="{63B3BB69-23CF-44E3-9099-C40C66FF867C}">
                  <a14:compatExt spid="_x0000_s278585"/>
                </a:ext>
                <a:ext uri="{FF2B5EF4-FFF2-40B4-BE49-F238E27FC236}">
                  <a16:creationId xmlns:a16="http://schemas.microsoft.com/office/drawing/2014/main" id="{00000000-0008-0000-1A00-00003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278586" name="bpmDropDownFLU223" hidden="1">
              <a:extLst>
                <a:ext uri="{63B3BB69-23CF-44E3-9099-C40C66FF867C}">
                  <a14:compatExt spid="_x0000_s278586"/>
                </a:ext>
                <a:ext uri="{FF2B5EF4-FFF2-40B4-BE49-F238E27FC236}">
                  <a16:creationId xmlns:a16="http://schemas.microsoft.com/office/drawing/2014/main" id="{00000000-0008-0000-1A00-00003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278587" name="bpmDropDownFLU224" hidden="1">
              <a:extLst>
                <a:ext uri="{63B3BB69-23CF-44E3-9099-C40C66FF867C}">
                  <a14:compatExt spid="_x0000_s278587"/>
                </a:ext>
                <a:ext uri="{FF2B5EF4-FFF2-40B4-BE49-F238E27FC236}">
                  <a16:creationId xmlns:a16="http://schemas.microsoft.com/office/drawing/2014/main" id="{00000000-0008-0000-1A00-00003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278588" name="bpmDropDownFLU225" hidden="1">
              <a:extLst>
                <a:ext uri="{63B3BB69-23CF-44E3-9099-C40C66FF867C}">
                  <a14:compatExt spid="_x0000_s278588"/>
                </a:ext>
                <a:ext uri="{FF2B5EF4-FFF2-40B4-BE49-F238E27FC236}">
                  <a16:creationId xmlns:a16="http://schemas.microsoft.com/office/drawing/2014/main" id="{00000000-0008-0000-1A00-00003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278589" name="bpmDropDownFLU226" hidden="1">
              <a:extLst>
                <a:ext uri="{63B3BB69-23CF-44E3-9099-C40C66FF867C}">
                  <a14:compatExt spid="_x0000_s278589"/>
                </a:ext>
                <a:ext uri="{FF2B5EF4-FFF2-40B4-BE49-F238E27FC236}">
                  <a16:creationId xmlns:a16="http://schemas.microsoft.com/office/drawing/2014/main" id="{00000000-0008-0000-1A00-00003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0</xdr:rowOff>
        </xdr:from>
        <xdr:to>
          <xdr:col>7</xdr:col>
          <xdr:colOff>0</xdr:colOff>
          <xdr:row>136</xdr:row>
          <xdr:rowOff>0</xdr:rowOff>
        </xdr:to>
        <xdr:sp macro="" textlink="">
          <xdr:nvSpPr>
            <xdr:cNvPr id="278596" name="bpmDropDownFLU571" hidden="1">
              <a:extLst>
                <a:ext uri="{63B3BB69-23CF-44E3-9099-C40C66FF867C}">
                  <a14:compatExt spid="_x0000_s278596"/>
                </a:ext>
                <a:ext uri="{FF2B5EF4-FFF2-40B4-BE49-F238E27FC236}">
                  <a16:creationId xmlns:a16="http://schemas.microsoft.com/office/drawing/2014/main" id="{00000000-0008-0000-1A00-00004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7</xdr:col>
          <xdr:colOff>0</xdr:colOff>
          <xdr:row>137</xdr:row>
          <xdr:rowOff>0</xdr:rowOff>
        </xdr:to>
        <xdr:sp macro="" textlink="">
          <xdr:nvSpPr>
            <xdr:cNvPr id="278597" name="bpmDropDownFLU572" hidden="1">
              <a:extLst>
                <a:ext uri="{63B3BB69-23CF-44E3-9099-C40C66FF867C}">
                  <a14:compatExt spid="_x0000_s278597"/>
                </a:ext>
                <a:ext uri="{FF2B5EF4-FFF2-40B4-BE49-F238E27FC236}">
                  <a16:creationId xmlns:a16="http://schemas.microsoft.com/office/drawing/2014/main" id="{00000000-0008-0000-1A00-00004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7</xdr:col>
          <xdr:colOff>0</xdr:colOff>
          <xdr:row>138</xdr:row>
          <xdr:rowOff>0</xdr:rowOff>
        </xdr:to>
        <xdr:sp macro="" textlink="">
          <xdr:nvSpPr>
            <xdr:cNvPr id="278598" name="bpmDropDownFLU573" hidden="1">
              <a:extLst>
                <a:ext uri="{63B3BB69-23CF-44E3-9099-C40C66FF867C}">
                  <a14:compatExt spid="_x0000_s278598"/>
                </a:ext>
                <a:ext uri="{FF2B5EF4-FFF2-40B4-BE49-F238E27FC236}">
                  <a16:creationId xmlns:a16="http://schemas.microsoft.com/office/drawing/2014/main" id="{00000000-0008-0000-1A00-00004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0</xdr:rowOff>
        </xdr:from>
        <xdr:to>
          <xdr:col>7</xdr:col>
          <xdr:colOff>0</xdr:colOff>
          <xdr:row>139</xdr:row>
          <xdr:rowOff>0</xdr:rowOff>
        </xdr:to>
        <xdr:sp macro="" textlink="">
          <xdr:nvSpPr>
            <xdr:cNvPr id="278599" name="bpmDropDownFLU574" hidden="1">
              <a:extLst>
                <a:ext uri="{63B3BB69-23CF-44E3-9099-C40C66FF867C}">
                  <a14:compatExt spid="_x0000_s278599"/>
                </a:ext>
                <a:ext uri="{FF2B5EF4-FFF2-40B4-BE49-F238E27FC236}">
                  <a16:creationId xmlns:a16="http://schemas.microsoft.com/office/drawing/2014/main" id="{00000000-0008-0000-1A00-000047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7</xdr:col>
          <xdr:colOff>0</xdr:colOff>
          <xdr:row>140</xdr:row>
          <xdr:rowOff>0</xdr:rowOff>
        </xdr:to>
        <xdr:sp macro="" textlink="">
          <xdr:nvSpPr>
            <xdr:cNvPr id="278600" name="bpmDropDownFLU575" hidden="1">
              <a:extLst>
                <a:ext uri="{63B3BB69-23CF-44E3-9099-C40C66FF867C}">
                  <a14:compatExt spid="_x0000_s278600"/>
                </a:ext>
                <a:ext uri="{FF2B5EF4-FFF2-40B4-BE49-F238E27FC236}">
                  <a16:creationId xmlns:a16="http://schemas.microsoft.com/office/drawing/2014/main" id="{00000000-0008-0000-1A00-00004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278601" name="bpmDropDownFLU576" hidden="1">
              <a:extLst>
                <a:ext uri="{63B3BB69-23CF-44E3-9099-C40C66FF867C}">
                  <a14:compatExt spid="_x0000_s278601"/>
                </a:ext>
                <a:ext uri="{FF2B5EF4-FFF2-40B4-BE49-F238E27FC236}">
                  <a16:creationId xmlns:a16="http://schemas.microsoft.com/office/drawing/2014/main" id="{00000000-0008-0000-1A00-00004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278602" name="bpmDropDownFLU577" hidden="1">
              <a:extLst>
                <a:ext uri="{63B3BB69-23CF-44E3-9099-C40C66FF867C}">
                  <a14:compatExt spid="_x0000_s278602"/>
                </a:ext>
                <a:ext uri="{FF2B5EF4-FFF2-40B4-BE49-F238E27FC236}">
                  <a16:creationId xmlns:a16="http://schemas.microsoft.com/office/drawing/2014/main" id="{00000000-0008-0000-1A00-00004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278603" name="bpmDropDownFLU578" hidden="1">
              <a:extLst>
                <a:ext uri="{63B3BB69-23CF-44E3-9099-C40C66FF867C}">
                  <a14:compatExt spid="_x0000_s278603"/>
                </a:ext>
                <a:ext uri="{FF2B5EF4-FFF2-40B4-BE49-F238E27FC236}">
                  <a16:creationId xmlns:a16="http://schemas.microsoft.com/office/drawing/2014/main" id="{00000000-0008-0000-1A00-00004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0</xdr:rowOff>
        </xdr:from>
        <xdr:to>
          <xdr:col>7</xdr:col>
          <xdr:colOff>0</xdr:colOff>
          <xdr:row>148</xdr:row>
          <xdr:rowOff>0</xdr:rowOff>
        </xdr:to>
        <xdr:sp macro="" textlink="">
          <xdr:nvSpPr>
            <xdr:cNvPr id="278604" name="bpmDropDownFLU579" hidden="1">
              <a:extLst>
                <a:ext uri="{63B3BB69-23CF-44E3-9099-C40C66FF867C}">
                  <a14:compatExt spid="_x0000_s278604"/>
                </a:ext>
                <a:ext uri="{FF2B5EF4-FFF2-40B4-BE49-F238E27FC236}">
                  <a16:creationId xmlns:a16="http://schemas.microsoft.com/office/drawing/2014/main" id="{00000000-0008-0000-1A00-00004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7</xdr:col>
          <xdr:colOff>0</xdr:colOff>
          <xdr:row>149</xdr:row>
          <xdr:rowOff>0</xdr:rowOff>
        </xdr:to>
        <xdr:sp macro="" textlink="">
          <xdr:nvSpPr>
            <xdr:cNvPr id="278605" name="bpmDropDownFLU580" hidden="1">
              <a:extLst>
                <a:ext uri="{63B3BB69-23CF-44E3-9099-C40C66FF867C}">
                  <a14:compatExt spid="_x0000_s278605"/>
                </a:ext>
                <a:ext uri="{FF2B5EF4-FFF2-40B4-BE49-F238E27FC236}">
                  <a16:creationId xmlns:a16="http://schemas.microsoft.com/office/drawing/2014/main" id="{00000000-0008-0000-1A00-00004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278606" name="bpmDropDownFLU581" hidden="1">
              <a:extLst>
                <a:ext uri="{63B3BB69-23CF-44E3-9099-C40C66FF867C}">
                  <a14:compatExt spid="_x0000_s278606"/>
                </a:ext>
                <a:ext uri="{FF2B5EF4-FFF2-40B4-BE49-F238E27FC236}">
                  <a16:creationId xmlns:a16="http://schemas.microsoft.com/office/drawing/2014/main" id="{00000000-0008-0000-1A00-00004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278607" name="bpmDropDownFLU582" hidden="1">
              <a:extLst>
                <a:ext uri="{63B3BB69-23CF-44E3-9099-C40C66FF867C}">
                  <a14:compatExt spid="_x0000_s278607"/>
                </a:ext>
                <a:ext uri="{FF2B5EF4-FFF2-40B4-BE49-F238E27FC236}">
                  <a16:creationId xmlns:a16="http://schemas.microsoft.com/office/drawing/2014/main" id="{00000000-0008-0000-1A00-00004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278608" name="bpmDropDownFLU583" hidden="1">
              <a:extLst>
                <a:ext uri="{63B3BB69-23CF-44E3-9099-C40C66FF867C}">
                  <a14:compatExt spid="_x0000_s278608"/>
                </a:ext>
                <a:ext uri="{FF2B5EF4-FFF2-40B4-BE49-F238E27FC236}">
                  <a16:creationId xmlns:a16="http://schemas.microsoft.com/office/drawing/2014/main" id="{00000000-0008-0000-1A00-00005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278609" name="bpmDropDownFLU584" hidden="1">
              <a:extLst>
                <a:ext uri="{63B3BB69-23CF-44E3-9099-C40C66FF867C}">
                  <a14:compatExt spid="_x0000_s278609"/>
                </a:ext>
                <a:ext uri="{FF2B5EF4-FFF2-40B4-BE49-F238E27FC236}">
                  <a16:creationId xmlns:a16="http://schemas.microsoft.com/office/drawing/2014/main" id="{00000000-0008-0000-1A00-00005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7</xdr:col>
          <xdr:colOff>0</xdr:colOff>
          <xdr:row>162</xdr:row>
          <xdr:rowOff>0</xdr:rowOff>
        </xdr:to>
        <xdr:sp macro="" textlink="">
          <xdr:nvSpPr>
            <xdr:cNvPr id="278610" name="bpmDropDownFLU585" hidden="1">
              <a:extLst>
                <a:ext uri="{63B3BB69-23CF-44E3-9099-C40C66FF867C}">
                  <a14:compatExt spid="_x0000_s278610"/>
                </a:ext>
                <a:ext uri="{FF2B5EF4-FFF2-40B4-BE49-F238E27FC236}">
                  <a16:creationId xmlns:a16="http://schemas.microsoft.com/office/drawing/2014/main" id="{00000000-0008-0000-1A00-00005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7</xdr:col>
          <xdr:colOff>0</xdr:colOff>
          <xdr:row>163</xdr:row>
          <xdr:rowOff>0</xdr:rowOff>
        </xdr:to>
        <xdr:sp macro="" textlink="">
          <xdr:nvSpPr>
            <xdr:cNvPr id="278611" name="bpmDropDownFLU586" hidden="1">
              <a:extLst>
                <a:ext uri="{63B3BB69-23CF-44E3-9099-C40C66FF867C}">
                  <a14:compatExt spid="_x0000_s278611"/>
                </a:ext>
                <a:ext uri="{FF2B5EF4-FFF2-40B4-BE49-F238E27FC236}">
                  <a16:creationId xmlns:a16="http://schemas.microsoft.com/office/drawing/2014/main" id="{00000000-0008-0000-1A00-00005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278612" name="bpmDropDownFLU587" hidden="1">
              <a:extLst>
                <a:ext uri="{63B3BB69-23CF-44E3-9099-C40C66FF867C}">
                  <a14:compatExt spid="_x0000_s278612"/>
                </a:ext>
                <a:ext uri="{FF2B5EF4-FFF2-40B4-BE49-F238E27FC236}">
                  <a16:creationId xmlns:a16="http://schemas.microsoft.com/office/drawing/2014/main" id="{00000000-0008-0000-1A00-00005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278613" name="bpmDropDownFLU588" hidden="1">
              <a:extLst>
                <a:ext uri="{63B3BB69-23CF-44E3-9099-C40C66FF867C}">
                  <a14:compatExt spid="_x0000_s278613"/>
                </a:ext>
                <a:ext uri="{FF2B5EF4-FFF2-40B4-BE49-F238E27FC236}">
                  <a16:creationId xmlns:a16="http://schemas.microsoft.com/office/drawing/2014/main" id="{00000000-0008-0000-1A00-00005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278614" name="bpmDropDownFLU589" hidden="1">
              <a:extLst>
                <a:ext uri="{63B3BB69-23CF-44E3-9099-C40C66FF867C}">
                  <a14:compatExt spid="_x0000_s278614"/>
                </a:ext>
                <a:ext uri="{FF2B5EF4-FFF2-40B4-BE49-F238E27FC236}">
                  <a16:creationId xmlns:a16="http://schemas.microsoft.com/office/drawing/2014/main" id="{00000000-0008-0000-1A00-00005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278615" name="bpmDropDownFLU386" hidden="1">
              <a:extLst>
                <a:ext uri="{63B3BB69-23CF-44E3-9099-C40C66FF867C}">
                  <a14:compatExt spid="_x0000_s278615"/>
                </a:ext>
                <a:ext uri="{FF2B5EF4-FFF2-40B4-BE49-F238E27FC236}">
                  <a16:creationId xmlns:a16="http://schemas.microsoft.com/office/drawing/2014/main" id="{00000000-0008-0000-1A00-000057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278616" name="bpmDropDownFLU387" hidden="1">
              <a:extLst>
                <a:ext uri="{63B3BB69-23CF-44E3-9099-C40C66FF867C}">
                  <a14:compatExt spid="_x0000_s278616"/>
                </a:ext>
                <a:ext uri="{FF2B5EF4-FFF2-40B4-BE49-F238E27FC236}">
                  <a16:creationId xmlns:a16="http://schemas.microsoft.com/office/drawing/2014/main" id="{00000000-0008-0000-1A00-00005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278617" name="bpmDropDownFLU942" hidden="1">
              <a:extLst>
                <a:ext uri="{63B3BB69-23CF-44E3-9099-C40C66FF867C}">
                  <a14:compatExt spid="_x0000_s278617"/>
                </a:ext>
                <a:ext uri="{FF2B5EF4-FFF2-40B4-BE49-F238E27FC236}">
                  <a16:creationId xmlns:a16="http://schemas.microsoft.com/office/drawing/2014/main" id="{00000000-0008-0000-1A00-00005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278618" name="bpmDropDownFLU943" hidden="1">
              <a:extLst>
                <a:ext uri="{63B3BB69-23CF-44E3-9099-C40C66FF867C}">
                  <a14:compatExt spid="_x0000_s278618"/>
                </a:ext>
                <a:ext uri="{FF2B5EF4-FFF2-40B4-BE49-F238E27FC236}">
                  <a16:creationId xmlns:a16="http://schemas.microsoft.com/office/drawing/2014/main" id="{00000000-0008-0000-1A00-00005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278619" name="bpmDropDownFLU944" hidden="1">
              <a:extLst>
                <a:ext uri="{63B3BB69-23CF-44E3-9099-C40C66FF867C}">
                  <a14:compatExt spid="_x0000_s278619"/>
                </a:ext>
                <a:ext uri="{FF2B5EF4-FFF2-40B4-BE49-F238E27FC236}">
                  <a16:creationId xmlns:a16="http://schemas.microsoft.com/office/drawing/2014/main" id="{00000000-0008-0000-1A00-00005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278620" name="bpmDropDownFLU945" hidden="1">
              <a:extLst>
                <a:ext uri="{63B3BB69-23CF-44E3-9099-C40C66FF867C}">
                  <a14:compatExt spid="_x0000_s278620"/>
                </a:ext>
                <a:ext uri="{FF2B5EF4-FFF2-40B4-BE49-F238E27FC236}">
                  <a16:creationId xmlns:a16="http://schemas.microsoft.com/office/drawing/2014/main" id="{00000000-0008-0000-1A00-00005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278621" name="bpmDropDownFLU946" hidden="1">
              <a:extLst>
                <a:ext uri="{63B3BB69-23CF-44E3-9099-C40C66FF867C}">
                  <a14:compatExt spid="_x0000_s278621"/>
                </a:ext>
                <a:ext uri="{FF2B5EF4-FFF2-40B4-BE49-F238E27FC236}">
                  <a16:creationId xmlns:a16="http://schemas.microsoft.com/office/drawing/2014/main" id="{00000000-0008-0000-1A00-00005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278622" name="bpmDropDownFLU947" hidden="1">
              <a:extLst>
                <a:ext uri="{63B3BB69-23CF-44E3-9099-C40C66FF867C}">
                  <a14:compatExt spid="_x0000_s278622"/>
                </a:ext>
                <a:ext uri="{FF2B5EF4-FFF2-40B4-BE49-F238E27FC236}">
                  <a16:creationId xmlns:a16="http://schemas.microsoft.com/office/drawing/2014/main" id="{00000000-0008-0000-1A00-00005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278633" name="bpmDropDownFLU1228" hidden="1">
              <a:extLst>
                <a:ext uri="{63B3BB69-23CF-44E3-9099-C40C66FF867C}">
                  <a14:compatExt spid="_x0000_s278633"/>
                </a:ext>
                <a:ext uri="{FF2B5EF4-FFF2-40B4-BE49-F238E27FC236}">
                  <a16:creationId xmlns:a16="http://schemas.microsoft.com/office/drawing/2014/main" id="{00000000-0008-0000-1A00-00006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278634" name="bpmDropDownFLU1229" hidden="1">
              <a:extLst>
                <a:ext uri="{63B3BB69-23CF-44E3-9099-C40C66FF867C}">
                  <a14:compatExt spid="_x0000_s278634"/>
                </a:ext>
                <a:ext uri="{FF2B5EF4-FFF2-40B4-BE49-F238E27FC236}">
                  <a16:creationId xmlns:a16="http://schemas.microsoft.com/office/drawing/2014/main" id="{00000000-0008-0000-1A00-00006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278635" name="bpmDropDownFLU1230" hidden="1">
              <a:extLst>
                <a:ext uri="{63B3BB69-23CF-44E3-9099-C40C66FF867C}">
                  <a14:compatExt spid="_x0000_s278635"/>
                </a:ext>
                <a:ext uri="{FF2B5EF4-FFF2-40B4-BE49-F238E27FC236}">
                  <a16:creationId xmlns:a16="http://schemas.microsoft.com/office/drawing/2014/main" id="{00000000-0008-0000-1A00-00006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278636" name="bpmDropDownFLU1231" hidden="1">
              <a:extLst>
                <a:ext uri="{63B3BB69-23CF-44E3-9099-C40C66FF867C}">
                  <a14:compatExt spid="_x0000_s278636"/>
                </a:ext>
                <a:ext uri="{FF2B5EF4-FFF2-40B4-BE49-F238E27FC236}">
                  <a16:creationId xmlns:a16="http://schemas.microsoft.com/office/drawing/2014/main" id="{00000000-0008-0000-1A00-00006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278637" name="bpmDropDownFLU1232" hidden="1">
              <a:extLst>
                <a:ext uri="{63B3BB69-23CF-44E3-9099-C40C66FF867C}">
                  <a14:compatExt spid="_x0000_s278637"/>
                </a:ext>
                <a:ext uri="{FF2B5EF4-FFF2-40B4-BE49-F238E27FC236}">
                  <a16:creationId xmlns:a16="http://schemas.microsoft.com/office/drawing/2014/main" id="{00000000-0008-0000-1A00-00006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0</xdr:colOff>
          <xdr:row>13</xdr:row>
          <xdr:rowOff>0</xdr:rowOff>
        </xdr:to>
        <xdr:sp macro="" textlink="">
          <xdr:nvSpPr>
            <xdr:cNvPr id="278639" name="bpmDropDownFLU6" hidden="1">
              <a:extLst>
                <a:ext uri="{63B3BB69-23CF-44E3-9099-C40C66FF867C}">
                  <a14:compatExt spid="_x0000_s278639"/>
                </a:ext>
                <a:ext uri="{FF2B5EF4-FFF2-40B4-BE49-F238E27FC236}">
                  <a16:creationId xmlns:a16="http://schemas.microsoft.com/office/drawing/2014/main" id="{00000000-0008-0000-1A00-00006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278640" name="bpmDropDownFLU7" hidden="1">
              <a:extLst>
                <a:ext uri="{63B3BB69-23CF-44E3-9099-C40C66FF867C}">
                  <a14:compatExt spid="_x0000_s278640"/>
                </a:ext>
                <a:ext uri="{FF2B5EF4-FFF2-40B4-BE49-F238E27FC236}">
                  <a16:creationId xmlns:a16="http://schemas.microsoft.com/office/drawing/2014/main" id="{00000000-0008-0000-1A00-00007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278641" name="bpmDropDownFLU8" hidden="1">
              <a:extLst>
                <a:ext uri="{63B3BB69-23CF-44E3-9099-C40C66FF867C}">
                  <a14:compatExt spid="_x0000_s278641"/>
                </a:ext>
                <a:ext uri="{FF2B5EF4-FFF2-40B4-BE49-F238E27FC236}">
                  <a16:creationId xmlns:a16="http://schemas.microsoft.com/office/drawing/2014/main" id="{00000000-0008-0000-1A00-00007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278642" name="bpmDropDownFLU10" hidden="1">
              <a:extLst>
                <a:ext uri="{63B3BB69-23CF-44E3-9099-C40C66FF867C}">
                  <a14:compatExt spid="_x0000_s278642"/>
                </a:ext>
                <a:ext uri="{FF2B5EF4-FFF2-40B4-BE49-F238E27FC236}">
                  <a16:creationId xmlns:a16="http://schemas.microsoft.com/office/drawing/2014/main" id="{00000000-0008-0000-1A00-00007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278643" name="bpmDropDownFLU25" hidden="1">
              <a:extLst>
                <a:ext uri="{63B3BB69-23CF-44E3-9099-C40C66FF867C}">
                  <a14:compatExt spid="_x0000_s278643"/>
                </a:ext>
                <a:ext uri="{FF2B5EF4-FFF2-40B4-BE49-F238E27FC236}">
                  <a16:creationId xmlns:a16="http://schemas.microsoft.com/office/drawing/2014/main" id="{00000000-0008-0000-1A00-00007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78644" name="bpmDropDownFLU28" hidden="1">
              <a:extLst>
                <a:ext uri="{63B3BB69-23CF-44E3-9099-C40C66FF867C}">
                  <a14:compatExt spid="_x0000_s278644"/>
                </a:ext>
                <a:ext uri="{FF2B5EF4-FFF2-40B4-BE49-F238E27FC236}">
                  <a16:creationId xmlns:a16="http://schemas.microsoft.com/office/drawing/2014/main" id="{00000000-0008-0000-1A00-00007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78645" name="bpmDropDownFLU29" hidden="1">
              <a:extLst>
                <a:ext uri="{63B3BB69-23CF-44E3-9099-C40C66FF867C}">
                  <a14:compatExt spid="_x0000_s278645"/>
                </a:ext>
                <a:ext uri="{FF2B5EF4-FFF2-40B4-BE49-F238E27FC236}">
                  <a16:creationId xmlns:a16="http://schemas.microsoft.com/office/drawing/2014/main" id="{00000000-0008-0000-1A00-00007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78646" name="bpmDropDownFLU30" hidden="1">
              <a:extLst>
                <a:ext uri="{63B3BB69-23CF-44E3-9099-C40C66FF867C}">
                  <a14:compatExt spid="_x0000_s278646"/>
                </a:ext>
                <a:ext uri="{FF2B5EF4-FFF2-40B4-BE49-F238E27FC236}">
                  <a16:creationId xmlns:a16="http://schemas.microsoft.com/office/drawing/2014/main" id="{00000000-0008-0000-1A00-00007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78648" name="bpmDropDownFLU32" hidden="1">
              <a:extLst>
                <a:ext uri="{63B3BB69-23CF-44E3-9099-C40C66FF867C}">
                  <a14:compatExt spid="_x0000_s278648"/>
                </a:ext>
                <a:ext uri="{FF2B5EF4-FFF2-40B4-BE49-F238E27FC236}">
                  <a16:creationId xmlns:a16="http://schemas.microsoft.com/office/drawing/2014/main" id="{00000000-0008-0000-1A00-00007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78649" name="bpmDropDownFLU33" hidden="1">
              <a:extLst>
                <a:ext uri="{63B3BB69-23CF-44E3-9099-C40C66FF867C}">
                  <a14:compatExt spid="_x0000_s278649"/>
                </a:ext>
                <a:ext uri="{FF2B5EF4-FFF2-40B4-BE49-F238E27FC236}">
                  <a16:creationId xmlns:a16="http://schemas.microsoft.com/office/drawing/2014/main" id="{00000000-0008-0000-1A00-00007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78650" name="bpmDropDownFLU34" hidden="1">
              <a:extLst>
                <a:ext uri="{63B3BB69-23CF-44E3-9099-C40C66FF867C}">
                  <a14:compatExt spid="_x0000_s278650"/>
                </a:ext>
                <a:ext uri="{FF2B5EF4-FFF2-40B4-BE49-F238E27FC236}">
                  <a16:creationId xmlns:a16="http://schemas.microsoft.com/office/drawing/2014/main" id="{00000000-0008-0000-1A00-00007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278651" name="bpmDropDownFLU45" hidden="1">
              <a:extLst>
                <a:ext uri="{63B3BB69-23CF-44E3-9099-C40C66FF867C}">
                  <a14:compatExt spid="_x0000_s278651"/>
                </a:ext>
                <a:ext uri="{FF2B5EF4-FFF2-40B4-BE49-F238E27FC236}">
                  <a16:creationId xmlns:a16="http://schemas.microsoft.com/office/drawing/2014/main" id="{00000000-0008-0000-1A00-00007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278652" name="bpmDropDownFLU46" hidden="1">
              <a:extLst>
                <a:ext uri="{63B3BB69-23CF-44E3-9099-C40C66FF867C}">
                  <a14:compatExt spid="_x0000_s278652"/>
                </a:ext>
                <a:ext uri="{FF2B5EF4-FFF2-40B4-BE49-F238E27FC236}">
                  <a16:creationId xmlns:a16="http://schemas.microsoft.com/office/drawing/2014/main" id="{00000000-0008-0000-1A00-00007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278653" name="bpmDropDownFLU47" hidden="1">
              <a:extLst>
                <a:ext uri="{63B3BB69-23CF-44E3-9099-C40C66FF867C}">
                  <a14:compatExt spid="_x0000_s278653"/>
                </a:ext>
                <a:ext uri="{FF2B5EF4-FFF2-40B4-BE49-F238E27FC236}">
                  <a16:creationId xmlns:a16="http://schemas.microsoft.com/office/drawing/2014/main" id="{00000000-0008-0000-1A00-00007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278654" name="bpmDropDownFLU48" hidden="1">
              <a:extLst>
                <a:ext uri="{63B3BB69-23CF-44E3-9099-C40C66FF867C}">
                  <a14:compatExt spid="_x0000_s278654"/>
                </a:ext>
                <a:ext uri="{FF2B5EF4-FFF2-40B4-BE49-F238E27FC236}">
                  <a16:creationId xmlns:a16="http://schemas.microsoft.com/office/drawing/2014/main" id="{00000000-0008-0000-1A00-00007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7</xdr:col>
          <xdr:colOff>0</xdr:colOff>
          <xdr:row>13</xdr:row>
          <xdr:rowOff>0</xdr:rowOff>
        </xdr:to>
        <xdr:sp macro="" textlink="">
          <xdr:nvSpPr>
            <xdr:cNvPr id="278655" name="bpmDropDownFLU49" hidden="1">
              <a:extLst>
                <a:ext uri="{63B3BB69-23CF-44E3-9099-C40C66FF867C}">
                  <a14:compatExt spid="_x0000_s278655"/>
                </a:ext>
                <a:ext uri="{FF2B5EF4-FFF2-40B4-BE49-F238E27FC236}">
                  <a16:creationId xmlns:a16="http://schemas.microsoft.com/office/drawing/2014/main" id="{00000000-0008-0000-1A00-00007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7</xdr:col>
          <xdr:colOff>0</xdr:colOff>
          <xdr:row>14</xdr:row>
          <xdr:rowOff>0</xdr:rowOff>
        </xdr:to>
        <xdr:sp macro="" textlink="">
          <xdr:nvSpPr>
            <xdr:cNvPr id="278656" name="bpmDropDownFLU50" hidden="1">
              <a:extLst>
                <a:ext uri="{63B3BB69-23CF-44E3-9099-C40C66FF867C}">
                  <a14:compatExt spid="_x0000_s278656"/>
                </a:ext>
                <a:ext uri="{FF2B5EF4-FFF2-40B4-BE49-F238E27FC236}">
                  <a16:creationId xmlns:a16="http://schemas.microsoft.com/office/drawing/2014/main" id="{00000000-0008-0000-1A00-00008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7</xdr:col>
          <xdr:colOff>0</xdr:colOff>
          <xdr:row>15</xdr:row>
          <xdr:rowOff>0</xdr:rowOff>
        </xdr:to>
        <xdr:sp macro="" textlink="">
          <xdr:nvSpPr>
            <xdr:cNvPr id="278657" name="bpmDropDownFLU51" hidden="1">
              <a:extLst>
                <a:ext uri="{63B3BB69-23CF-44E3-9099-C40C66FF867C}">
                  <a14:compatExt spid="_x0000_s278657"/>
                </a:ext>
                <a:ext uri="{FF2B5EF4-FFF2-40B4-BE49-F238E27FC236}">
                  <a16:creationId xmlns:a16="http://schemas.microsoft.com/office/drawing/2014/main" id="{00000000-0008-0000-1A00-00008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278658" name="bpmDropDownFLU52" hidden="1">
              <a:extLst>
                <a:ext uri="{63B3BB69-23CF-44E3-9099-C40C66FF867C}">
                  <a14:compatExt spid="_x0000_s278658"/>
                </a:ext>
                <a:ext uri="{FF2B5EF4-FFF2-40B4-BE49-F238E27FC236}">
                  <a16:creationId xmlns:a16="http://schemas.microsoft.com/office/drawing/2014/main" id="{00000000-0008-0000-1A00-00008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278659" name="bpmDropDownFLU57" hidden="1">
              <a:extLst>
                <a:ext uri="{63B3BB69-23CF-44E3-9099-C40C66FF867C}">
                  <a14:compatExt spid="_x0000_s278659"/>
                </a:ext>
                <a:ext uri="{FF2B5EF4-FFF2-40B4-BE49-F238E27FC236}">
                  <a16:creationId xmlns:a16="http://schemas.microsoft.com/office/drawing/2014/main" id="{00000000-0008-0000-1A00-00008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278660" name="bpmDropDownFLU59" hidden="1">
              <a:extLst>
                <a:ext uri="{63B3BB69-23CF-44E3-9099-C40C66FF867C}">
                  <a14:compatExt spid="_x0000_s278660"/>
                </a:ext>
                <a:ext uri="{FF2B5EF4-FFF2-40B4-BE49-F238E27FC236}">
                  <a16:creationId xmlns:a16="http://schemas.microsoft.com/office/drawing/2014/main" id="{00000000-0008-0000-1A00-00008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278661" name="bpmDropDownFLU63" hidden="1">
              <a:extLst>
                <a:ext uri="{63B3BB69-23CF-44E3-9099-C40C66FF867C}">
                  <a14:compatExt spid="_x0000_s278661"/>
                </a:ext>
                <a:ext uri="{FF2B5EF4-FFF2-40B4-BE49-F238E27FC236}">
                  <a16:creationId xmlns:a16="http://schemas.microsoft.com/office/drawing/2014/main" id="{00000000-0008-0000-1A00-00008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278662" name="bpmDropDownFLU64" hidden="1">
              <a:extLst>
                <a:ext uri="{63B3BB69-23CF-44E3-9099-C40C66FF867C}">
                  <a14:compatExt spid="_x0000_s278662"/>
                </a:ext>
                <a:ext uri="{FF2B5EF4-FFF2-40B4-BE49-F238E27FC236}">
                  <a16:creationId xmlns:a16="http://schemas.microsoft.com/office/drawing/2014/main" id="{00000000-0008-0000-1A00-00008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278664" name="bpmDropDownFLU78" hidden="1">
              <a:extLst>
                <a:ext uri="{63B3BB69-23CF-44E3-9099-C40C66FF867C}">
                  <a14:compatExt spid="_x0000_s278664"/>
                </a:ext>
                <a:ext uri="{FF2B5EF4-FFF2-40B4-BE49-F238E27FC236}">
                  <a16:creationId xmlns:a16="http://schemas.microsoft.com/office/drawing/2014/main" id="{00000000-0008-0000-1A00-00008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278665" name="bpmDropDownFLU81" hidden="1">
              <a:extLst>
                <a:ext uri="{63B3BB69-23CF-44E3-9099-C40C66FF867C}">
                  <a14:compatExt spid="_x0000_s278665"/>
                </a:ext>
                <a:ext uri="{FF2B5EF4-FFF2-40B4-BE49-F238E27FC236}">
                  <a16:creationId xmlns:a16="http://schemas.microsoft.com/office/drawing/2014/main" id="{00000000-0008-0000-1A00-00008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278666" name="bpmDropDownFLU82" hidden="1">
              <a:extLst>
                <a:ext uri="{63B3BB69-23CF-44E3-9099-C40C66FF867C}">
                  <a14:compatExt spid="_x0000_s278666"/>
                </a:ext>
                <a:ext uri="{FF2B5EF4-FFF2-40B4-BE49-F238E27FC236}">
                  <a16:creationId xmlns:a16="http://schemas.microsoft.com/office/drawing/2014/main" id="{00000000-0008-0000-1A00-00008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278667" name="bpmDropDownFLU83" hidden="1">
              <a:extLst>
                <a:ext uri="{63B3BB69-23CF-44E3-9099-C40C66FF867C}">
                  <a14:compatExt spid="_x0000_s278667"/>
                </a:ext>
                <a:ext uri="{FF2B5EF4-FFF2-40B4-BE49-F238E27FC236}">
                  <a16:creationId xmlns:a16="http://schemas.microsoft.com/office/drawing/2014/main" id="{00000000-0008-0000-1A00-00008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278668" name="bpmDropDownFLU84" hidden="1">
              <a:extLst>
                <a:ext uri="{63B3BB69-23CF-44E3-9099-C40C66FF867C}">
                  <a14:compatExt spid="_x0000_s278668"/>
                </a:ext>
                <a:ext uri="{FF2B5EF4-FFF2-40B4-BE49-F238E27FC236}">
                  <a16:creationId xmlns:a16="http://schemas.microsoft.com/office/drawing/2014/main" id="{00000000-0008-0000-1A00-00008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278669" name="bpmDropDownFLU85" hidden="1">
              <a:extLst>
                <a:ext uri="{63B3BB69-23CF-44E3-9099-C40C66FF867C}">
                  <a14:compatExt spid="_x0000_s278669"/>
                </a:ext>
                <a:ext uri="{FF2B5EF4-FFF2-40B4-BE49-F238E27FC236}">
                  <a16:creationId xmlns:a16="http://schemas.microsoft.com/office/drawing/2014/main" id="{00000000-0008-0000-1A00-00008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278670" name="bpmDropDownFLU86" hidden="1">
              <a:extLst>
                <a:ext uri="{63B3BB69-23CF-44E3-9099-C40C66FF867C}">
                  <a14:compatExt spid="_x0000_s278670"/>
                </a:ext>
                <a:ext uri="{FF2B5EF4-FFF2-40B4-BE49-F238E27FC236}">
                  <a16:creationId xmlns:a16="http://schemas.microsoft.com/office/drawing/2014/main" id="{00000000-0008-0000-1A00-00008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7</xdr:col>
          <xdr:colOff>0</xdr:colOff>
          <xdr:row>75</xdr:row>
          <xdr:rowOff>0</xdr:rowOff>
        </xdr:to>
        <xdr:sp macro="" textlink="">
          <xdr:nvSpPr>
            <xdr:cNvPr id="278671" name="bpmDropDownFLU87" hidden="1">
              <a:extLst>
                <a:ext uri="{63B3BB69-23CF-44E3-9099-C40C66FF867C}">
                  <a14:compatExt spid="_x0000_s278671"/>
                </a:ext>
                <a:ext uri="{FF2B5EF4-FFF2-40B4-BE49-F238E27FC236}">
                  <a16:creationId xmlns:a16="http://schemas.microsoft.com/office/drawing/2014/main" id="{00000000-0008-0000-1A00-00008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7</xdr:col>
          <xdr:colOff>0</xdr:colOff>
          <xdr:row>76</xdr:row>
          <xdr:rowOff>0</xdr:rowOff>
        </xdr:to>
        <xdr:sp macro="" textlink="">
          <xdr:nvSpPr>
            <xdr:cNvPr id="278672" name="bpmDropDownFLU88" hidden="1">
              <a:extLst>
                <a:ext uri="{63B3BB69-23CF-44E3-9099-C40C66FF867C}">
                  <a14:compatExt spid="_x0000_s278672"/>
                </a:ext>
                <a:ext uri="{FF2B5EF4-FFF2-40B4-BE49-F238E27FC236}">
                  <a16:creationId xmlns:a16="http://schemas.microsoft.com/office/drawing/2014/main" id="{00000000-0008-0000-1A00-00009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278673" name="bpmDropDownFLU89" hidden="1">
              <a:extLst>
                <a:ext uri="{63B3BB69-23CF-44E3-9099-C40C66FF867C}">
                  <a14:compatExt spid="_x0000_s278673"/>
                </a:ext>
                <a:ext uri="{FF2B5EF4-FFF2-40B4-BE49-F238E27FC236}">
                  <a16:creationId xmlns:a16="http://schemas.microsoft.com/office/drawing/2014/main" id="{00000000-0008-0000-1A00-00009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278674" name="bpmDropDownFLU90" hidden="1">
              <a:extLst>
                <a:ext uri="{63B3BB69-23CF-44E3-9099-C40C66FF867C}">
                  <a14:compatExt spid="_x0000_s278674"/>
                </a:ext>
                <a:ext uri="{FF2B5EF4-FFF2-40B4-BE49-F238E27FC236}">
                  <a16:creationId xmlns:a16="http://schemas.microsoft.com/office/drawing/2014/main" id="{00000000-0008-0000-1A00-00009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278675" name="bpmDropDownFLU91" hidden="1">
              <a:extLst>
                <a:ext uri="{63B3BB69-23CF-44E3-9099-C40C66FF867C}">
                  <a14:compatExt spid="_x0000_s278675"/>
                </a:ext>
                <a:ext uri="{FF2B5EF4-FFF2-40B4-BE49-F238E27FC236}">
                  <a16:creationId xmlns:a16="http://schemas.microsoft.com/office/drawing/2014/main" id="{00000000-0008-0000-1A00-00009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278676" name="bpmDropDownFLU92" hidden="1">
              <a:extLst>
                <a:ext uri="{63B3BB69-23CF-44E3-9099-C40C66FF867C}">
                  <a14:compatExt spid="_x0000_s278676"/>
                </a:ext>
                <a:ext uri="{FF2B5EF4-FFF2-40B4-BE49-F238E27FC236}">
                  <a16:creationId xmlns:a16="http://schemas.microsoft.com/office/drawing/2014/main" id="{00000000-0008-0000-1A00-00009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0</xdr:rowOff>
        </xdr:to>
        <xdr:sp macro="" textlink="">
          <xdr:nvSpPr>
            <xdr:cNvPr id="278677" name="bpmDropDownFLU93" hidden="1">
              <a:extLst>
                <a:ext uri="{63B3BB69-23CF-44E3-9099-C40C66FF867C}">
                  <a14:compatExt spid="_x0000_s278677"/>
                </a:ext>
                <a:ext uri="{FF2B5EF4-FFF2-40B4-BE49-F238E27FC236}">
                  <a16:creationId xmlns:a16="http://schemas.microsoft.com/office/drawing/2014/main" id="{00000000-0008-0000-1A00-00009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0</xdr:rowOff>
        </xdr:to>
        <xdr:sp macro="" textlink="">
          <xdr:nvSpPr>
            <xdr:cNvPr id="278678" name="bpmDropDownFLU95" hidden="1">
              <a:extLst>
                <a:ext uri="{63B3BB69-23CF-44E3-9099-C40C66FF867C}">
                  <a14:compatExt spid="_x0000_s278678"/>
                </a:ext>
                <a:ext uri="{FF2B5EF4-FFF2-40B4-BE49-F238E27FC236}">
                  <a16:creationId xmlns:a16="http://schemas.microsoft.com/office/drawing/2014/main" id="{00000000-0008-0000-1A00-00009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278679" name="bpmDropDownFLU96" hidden="1">
              <a:extLst>
                <a:ext uri="{63B3BB69-23CF-44E3-9099-C40C66FF867C}">
                  <a14:compatExt spid="_x0000_s278679"/>
                </a:ext>
                <a:ext uri="{FF2B5EF4-FFF2-40B4-BE49-F238E27FC236}">
                  <a16:creationId xmlns:a16="http://schemas.microsoft.com/office/drawing/2014/main" id="{00000000-0008-0000-1A00-000097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0</xdr:rowOff>
        </xdr:from>
        <xdr:to>
          <xdr:col>9</xdr:col>
          <xdr:colOff>0</xdr:colOff>
          <xdr:row>78</xdr:row>
          <xdr:rowOff>0</xdr:rowOff>
        </xdr:to>
        <xdr:sp macro="" textlink="">
          <xdr:nvSpPr>
            <xdr:cNvPr id="278680" name="bpmDropDownFLU97" hidden="1">
              <a:extLst>
                <a:ext uri="{63B3BB69-23CF-44E3-9099-C40C66FF867C}">
                  <a14:compatExt spid="_x0000_s278680"/>
                </a:ext>
                <a:ext uri="{FF2B5EF4-FFF2-40B4-BE49-F238E27FC236}">
                  <a16:creationId xmlns:a16="http://schemas.microsoft.com/office/drawing/2014/main" id="{00000000-0008-0000-1A00-000098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0</xdr:rowOff>
        </xdr:to>
        <xdr:sp macro="" textlink="">
          <xdr:nvSpPr>
            <xdr:cNvPr id="278681" name="bpmDropDownFLU98" hidden="1">
              <a:extLst>
                <a:ext uri="{63B3BB69-23CF-44E3-9099-C40C66FF867C}">
                  <a14:compatExt spid="_x0000_s278681"/>
                </a:ext>
                <a:ext uri="{FF2B5EF4-FFF2-40B4-BE49-F238E27FC236}">
                  <a16:creationId xmlns:a16="http://schemas.microsoft.com/office/drawing/2014/main" id="{00000000-0008-0000-1A00-000099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0</xdr:rowOff>
        </xdr:to>
        <xdr:sp macro="" textlink="">
          <xdr:nvSpPr>
            <xdr:cNvPr id="278682" name="bpmDropDownFLU99" hidden="1">
              <a:extLst>
                <a:ext uri="{63B3BB69-23CF-44E3-9099-C40C66FF867C}">
                  <a14:compatExt spid="_x0000_s278682"/>
                </a:ext>
                <a:ext uri="{FF2B5EF4-FFF2-40B4-BE49-F238E27FC236}">
                  <a16:creationId xmlns:a16="http://schemas.microsoft.com/office/drawing/2014/main" id="{00000000-0008-0000-1A00-00009A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125</xdr:row>
          <xdr:rowOff>0</xdr:rowOff>
        </xdr:from>
        <xdr:to>
          <xdr:col>9</xdr:col>
          <xdr:colOff>0</xdr:colOff>
          <xdr:row>126</xdr:row>
          <xdr:rowOff>0</xdr:rowOff>
        </xdr:to>
        <xdr:sp macro="" textlink="">
          <xdr:nvSpPr>
            <xdr:cNvPr id="278683" name="bpmDropDownFLU103" hidden="1">
              <a:extLst>
                <a:ext uri="{63B3BB69-23CF-44E3-9099-C40C66FF867C}">
                  <a14:compatExt spid="_x0000_s278683"/>
                </a:ext>
                <a:ext uri="{FF2B5EF4-FFF2-40B4-BE49-F238E27FC236}">
                  <a16:creationId xmlns:a16="http://schemas.microsoft.com/office/drawing/2014/main" id="{00000000-0008-0000-1A00-00009B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126</xdr:row>
          <xdr:rowOff>0</xdr:rowOff>
        </xdr:from>
        <xdr:to>
          <xdr:col>9</xdr:col>
          <xdr:colOff>0</xdr:colOff>
          <xdr:row>127</xdr:row>
          <xdr:rowOff>0</xdr:rowOff>
        </xdr:to>
        <xdr:sp macro="" textlink="">
          <xdr:nvSpPr>
            <xdr:cNvPr id="278684" name="bpmDropDownFLU104" hidden="1">
              <a:extLst>
                <a:ext uri="{63B3BB69-23CF-44E3-9099-C40C66FF867C}">
                  <a14:compatExt spid="_x0000_s278684"/>
                </a:ext>
                <a:ext uri="{FF2B5EF4-FFF2-40B4-BE49-F238E27FC236}">
                  <a16:creationId xmlns:a16="http://schemas.microsoft.com/office/drawing/2014/main" id="{00000000-0008-0000-1A00-00009C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0</xdr:rowOff>
        </xdr:from>
        <xdr:to>
          <xdr:col>9</xdr:col>
          <xdr:colOff>0</xdr:colOff>
          <xdr:row>128</xdr:row>
          <xdr:rowOff>0</xdr:rowOff>
        </xdr:to>
        <xdr:sp macro="" textlink="">
          <xdr:nvSpPr>
            <xdr:cNvPr id="278685" name="bpmDropDownFLU105" hidden="1">
              <a:extLst>
                <a:ext uri="{63B3BB69-23CF-44E3-9099-C40C66FF867C}">
                  <a14:compatExt spid="_x0000_s278685"/>
                </a:ext>
                <a:ext uri="{FF2B5EF4-FFF2-40B4-BE49-F238E27FC236}">
                  <a16:creationId xmlns:a16="http://schemas.microsoft.com/office/drawing/2014/main" id="{00000000-0008-0000-1A00-00009D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128</xdr:row>
          <xdr:rowOff>0</xdr:rowOff>
        </xdr:from>
        <xdr:to>
          <xdr:col>9</xdr:col>
          <xdr:colOff>0</xdr:colOff>
          <xdr:row>129</xdr:row>
          <xdr:rowOff>0</xdr:rowOff>
        </xdr:to>
        <xdr:sp macro="" textlink="">
          <xdr:nvSpPr>
            <xdr:cNvPr id="278686" name="bpmDropDownFLU106" hidden="1">
              <a:extLst>
                <a:ext uri="{63B3BB69-23CF-44E3-9099-C40C66FF867C}">
                  <a14:compatExt spid="_x0000_s278686"/>
                </a:ext>
                <a:ext uri="{FF2B5EF4-FFF2-40B4-BE49-F238E27FC236}">
                  <a16:creationId xmlns:a16="http://schemas.microsoft.com/office/drawing/2014/main" id="{00000000-0008-0000-1A00-00009E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0</xdr:rowOff>
        </xdr:from>
        <xdr:to>
          <xdr:col>9</xdr:col>
          <xdr:colOff>0</xdr:colOff>
          <xdr:row>130</xdr:row>
          <xdr:rowOff>0</xdr:rowOff>
        </xdr:to>
        <xdr:sp macro="" textlink="">
          <xdr:nvSpPr>
            <xdr:cNvPr id="278687" name="bpmDropDownFLU107" hidden="1">
              <a:extLst>
                <a:ext uri="{63B3BB69-23CF-44E3-9099-C40C66FF867C}">
                  <a14:compatExt spid="_x0000_s278687"/>
                </a:ext>
                <a:ext uri="{FF2B5EF4-FFF2-40B4-BE49-F238E27FC236}">
                  <a16:creationId xmlns:a16="http://schemas.microsoft.com/office/drawing/2014/main" id="{00000000-0008-0000-1A00-00009F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9</xdr:col>
          <xdr:colOff>0</xdr:colOff>
          <xdr:row>131</xdr:row>
          <xdr:rowOff>0</xdr:rowOff>
        </xdr:to>
        <xdr:sp macro="" textlink="">
          <xdr:nvSpPr>
            <xdr:cNvPr id="278688" name="bpmDropDownFLU108" hidden="1">
              <a:extLst>
                <a:ext uri="{63B3BB69-23CF-44E3-9099-C40C66FF867C}">
                  <a14:compatExt spid="_x0000_s278688"/>
                </a:ext>
                <a:ext uri="{FF2B5EF4-FFF2-40B4-BE49-F238E27FC236}">
                  <a16:creationId xmlns:a16="http://schemas.microsoft.com/office/drawing/2014/main" id="{00000000-0008-0000-1A00-0000A0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7</xdr:col>
          <xdr:colOff>0</xdr:colOff>
          <xdr:row>126</xdr:row>
          <xdr:rowOff>0</xdr:rowOff>
        </xdr:to>
        <xdr:sp macro="" textlink="">
          <xdr:nvSpPr>
            <xdr:cNvPr id="278689" name="bpmDropDownFLU120" hidden="1">
              <a:extLst>
                <a:ext uri="{63B3BB69-23CF-44E3-9099-C40C66FF867C}">
                  <a14:compatExt spid="_x0000_s278689"/>
                </a:ext>
                <a:ext uri="{FF2B5EF4-FFF2-40B4-BE49-F238E27FC236}">
                  <a16:creationId xmlns:a16="http://schemas.microsoft.com/office/drawing/2014/main" id="{00000000-0008-0000-1A00-0000A1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278690" name="bpmDropDownFLU148" hidden="1">
              <a:extLst>
                <a:ext uri="{63B3BB69-23CF-44E3-9099-C40C66FF867C}">
                  <a14:compatExt spid="_x0000_s278690"/>
                </a:ext>
                <a:ext uri="{FF2B5EF4-FFF2-40B4-BE49-F238E27FC236}">
                  <a16:creationId xmlns:a16="http://schemas.microsoft.com/office/drawing/2014/main" id="{00000000-0008-0000-1A00-0000A2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278691" name="bpmDropDownFLU166" hidden="1">
              <a:extLst>
                <a:ext uri="{63B3BB69-23CF-44E3-9099-C40C66FF867C}">
                  <a14:compatExt spid="_x0000_s278691"/>
                </a:ext>
                <a:ext uri="{FF2B5EF4-FFF2-40B4-BE49-F238E27FC236}">
                  <a16:creationId xmlns:a16="http://schemas.microsoft.com/office/drawing/2014/main" id="{00000000-0008-0000-1A00-0000A3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7</xdr:col>
          <xdr:colOff>0</xdr:colOff>
          <xdr:row>129</xdr:row>
          <xdr:rowOff>0</xdr:rowOff>
        </xdr:to>
        <xdr:sp macro="" textlink="">
          <xdr:nvSpPr>
            <xdr:cNvPr id="278692" name="bpmDropDownFLU167" hidden="1">
              <a:extLst>
                <a:ext uri="{63B3BB69-23CF-44E3-9099-C40C66FF867C}">
                  <a14:compatExt spid="_x0000_s278692"/>
                </a:ext>
                <a:ext uri="{FF2B5EF4-FFF2-40B4-BE49-F238E27FC236}">
                  <a16:creationId xmlns:a16="http://schemas.microsoft.com/office/drawing/2014/main" id="{00000000-0008-0000-1A00-0000A4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278693" name="bpmDropDownFLU168" hidden="1">
              <a:extLst>
                <a:ext uri="{63B3BB69-23CF-44E3-9099-C40C66FF867C}">
                  <a14:compatExt spid="_x0000_s278693"/>
                </a:ext>
                <a:ext uri="{FF2B5EF4-FFF2-40B4-BE49-F238E27FC236}">
                  <a16:creationId xmlns:a16="http://schemas.microsoft.com/office/drawing/2014/main" id="{00000000-0008-0000-1A00-0000A5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278694" name="bpmDropDownFLU169" hidden="1">
              <a:extLst>
                <a:ext uri="{63B3BB69-23CF-44E3-9099-C40C66FF867C}">
                  <a14:compatExt spid="_x0000_s278694"/>
                </a:ext>
                <a:ext uri="{FF2B5EF4-FFF2-40B4-BE49-F238E27FC236}">
                  <a16:creationId xmlns:a16="http://schemas.microsoft.com/office/drawing/2014/main" id="{00000000-0008-0000-1A00-0000A64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11</xdr:col>
      <xdr:colOff>438150</xdr:colOff>
      <xdr:row>0</xdr:row>
      <xdr:rowOff>238125</xdr:rowOff>
    </xdr:from>
    <xdr:to>
      <xdr:col>12</xdr:col>
      <xdr:colOff>885825</xdr:colOff>
      <xdr:row>2</xdr:row>
      <xdr:rowOff>38100</xdr:rowOff>
    </xdr:to>
    <xdr:sp macro="" textlink="">
      <xdr:nvSpPr>
        <xdr:cNvPr id="128" name="Auto Shape 1">
          <a:hlinkClick xmlns:r="http://schemas.openxmlformats.org/officeDocument/2006/relationships" r:id="rId1"/>
          <a:extLst>
            <a:ext uri="{FF2B5EF4-FFF2-40B4-BE49-F238E27FC236}">
              <a16:creationId xmlns:a16="http://schemas.microsoft.com/office/drawing/2014/main" id="{00000000-0008-0000-1A00-000080000000}"/>
            </a:ext>
          </a:extLst>
        </xdr:cNvPr>
        <xdr:cNvSpPr/>
      </xdr:nvSpPr>
      <xdr:spPr>
        <a:xfrm>
          <a:off x="8582025" y="238125"/>
          <a:ext cx="16383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129" name="Picture 1">
          <a:hlinkClick xmlns:r="http://schemas.openxmlformats.org/officeDocument/2006/relationships" r:id="rId2"/>
          <a:extLst>
            <a:ext uri="{FF2B5EF4-FFF2-40B4-BE49-F238E27FC236}">
              <a16:creationId xmlns:a16="http://schemas.microsoft.com/office/drawing/2014/main" id="{00000000-0008-0000-1A00-000081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7</xdr:col>
      <xdr:colOff>1771650</xdr:colOff>
      <xdr:row>2</xdr:row>
      <xdr:rowOff>0</xdr:rowOff>
    </xdr:from>
    <xdr:to>
      <xdr:col>10</xdr:col>
      <xdr:colOff>723900</xdr:colOff>
      <xdr:row>3</xdr:row>
      <xdr:rowOff>152400</xdr:rowOff>
    </xdr:to>
    <xdr:sp macro="" textlink="">
      <xdr:nvSpPr>
        <xdr:cNvPr id="130" name="Auto Shape 2">
          <a:hlinkClick xmlns:r="http://schemas.openxmlformats.org/officeDocument/2006/relationships" r:id="rId4"/>
          <a:extLst>
            <a:ext uri="{FF2B5EF4-FFF2-40B4-BE49-F238E27FC236}">
              <a16:creationId xmlns:a16="http://schemas.microsoft.com/office/drawing/2014/main" id="{00000000-0008-0000-1A00-000082000000}"/>
            </a:ext>
          </a:extLst>
        </xdr:cNvPr>
        <xdr:cNvSpPr/>
      </xdr:nvSpPr>
      <xdr:spPr>
        <a:xfrm>
          <a:off x="4924425" y="504825"/>
          <a:ext cx="3057525" cy="342900"/>
        </a:xfrm>
        <a:prstGeom prst="snip1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lang="en-US" sz="1100" b="1"/>
            <a:t>TRAINING</a:t>
          </a:r>
        </a:p>
      </xdr:txBody>
    </xdr:sp>
    <xdr:clientData/>
  </xdr:twoCellAnchor>
  <xdr:twoCellAnchor editAs="oneCell">
    <xdr:from>
      <xdr:col>10</xdr:col>
      <xdr:colOff>762000</xdr:colOff>
      <xdr:row>0</xdr:row>
      <xdr:rowOff>200025</xdr:rowOff>
    </xdr:from>
    <xdr:to>
      <xdr:col>11</xdr:col>
      <xdr:colOff>361950</xdr:colOff>
      <xdr:row>2</xdr:row>
      <xdr:rowOff>161925</xdr:rowOff>
    </xdr:to>
    <xdr:pic>
      <xdr:nvPicPr>
        <xdr:cNvPr id="131" name="Picture 2">
          <a:extLst>
            <a:ext uri="{FF2B5EF4-FFF2-40B4-BE49-F238E27FC236}">
              <a16:creationId xmlns:a16="http://schemas.microsoft.com/office/drawing/2014/main" id="{00000000-0008-0000-1A00-000083000000}"/>
            </a:ext>
          </a:extLst>
        </xdr:cNvPr>
        <xdr:cNvPicPr>
          <a:picLocks noChangeAspect="1"/>
        </xdr:cNvPicPr>
      </xdr:nvPicPr>
      <xdr:blipFill>
        <a:blip xmlns:r="http://schemas.openxmlformats.org/officeDocument/2006/relationships" r:embed="rId5"/>
        <a:stretch>
          <a:fillRect/>
        </a:stretch>
      </xdr:blipFill>
      <xdr:spPr>
        <a:xfrm>
          <a:off x="8020050" y="200025"/>
          <a:ext cx="485775" cy="4667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294923" name="bpmDropDownFLU115" hidden="1">
              <a:extLst>
                <a:ext uri="{63B3BB69-23CF-44E3-9099-C40C66FF867C}">
                  <a14:compatExt spid="_x0000_s294923"/>
                </a:ext>
                <a:ext uri="{FF2B5EF4-FFF2-40B4-BE49-F238E27FC236}">
                  <a16:creationId xmlns:a16="http://schemas.microsoft.com/office/drawing/2014/main" id="{00000000-0008-0000-1B00-00000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294924" name="bpmDropDownFLU116" hidden="1">
              <a:extLst>
                <a:ext uri="{63B3BB69-23CF-44E3-9099-C40C66FF867C}">
                  <a14:compatExt spid="_x0000_s294924"/>
                </a:ext>
                <a:ext uri="{FF2B5EF4-FFF2-40B4-BE49-F238E27FC236}">
                  <a16:creationId xmlns:a16="http://schemas.microsoft.com/office/drawing/2014/main" id="{00000000-0008-0000-1B00-00000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294925" name="bpmDropDownFLU117" hidden="1">
              <a:extLst>
                <a:ext uri="{63B3BB69-23CF-44E3-9099-C40C66FF867C}">
                  <a14:compatExt spid="_x0000_s294925"/>
                </a:ext>
                <a:ext uri="{FF2B5EF4-FFF2-40B4-BE49-F238E27FC236}">
                  <a16:creationId xmlns:a16="http://schemas.microsoft.com/office/drawing/2014/main" id="{00000000-0008-0000-1B00-00000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294926" name="bpmDropDownFLU118" hidden="1">
              <a:extLst>
                <a:ext uri="{63B3BB69-23CF-44E3-9099-C40C66FF867C}">
                  <a14:compatExt spid="_x0000_s294926"/>
                </a:ext>
                <a:ext uri="{FF2B5EF4-FFF2-40B4-BE49-F238E27FC236}">
                  <a16:creationId xmlns:a16="http://schemas.microsoft.com/office/drawing/2014/main" id="{00000000-0008-0000-1B00-00000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294927" name="bpmDropDownFLU119" hidden="1">
              <a:extLst>
                <a:ext uri="{63B3BB69-23CF-44E3-9099-C40C66FF867C}">
                  <a14:compatExt spid="_x0000_s294927"/>
                </a:ext>
                <a:ext uri="{FF2B5EF4-FFF2-40B4-BE49-F238E27FC236}">
                  <a16:creationId xmlns:a16="http://schemas.microsoft.com/office/drawing/2014/main" id="{00000000-0008-0000-1B00-00000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294928" name="bpmDropDownFLU133" hidden="1">
              <a:extLst>
                <a:ext uri="{63B3BB69-23CF-44E3-9099-C40C66FF867C}">
                  <a14:compatExt spid="_x0000_s294928"/>
                </a:ext>
                <a:ext uri="{FF2B5EF4-FFF2-40B4-BE49-F238E27FC236}">
                  <a16:creationId xmlns:a16="http://schemas.microsoft.com/office/drawing/2014/main" id="{00000000-0008-0000-1B00-00001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294929" name="bpmDropDownFLU134" hidden="1">
              <a:extLst>
                <a:ext uri="{63B3BB69-23CF-44E3-9099-C40C66FF867C}">
                  <a14:compatExt spid="_x0000_s294929"/>
                </a:ext>
                <a:ext uri="{FF2B5EF4-FFF2-40B4-BE49-F238E27FC236}">
                  <a16:creationId xmlns:a16="http://schemas.microsoft.com/office/drawing/2014/main" id="{00000000-0008-0000-1B00-00001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294930" name="bpmDropDownFLU135" hidden="1">
              <a:extLst>
                <a:ext uri="{63B3BB69-23CF-44E3-9099-C40C66FF867C}">
                  <a14:compatExt spid="_x0000_s294930"/>
                </a:ext>
                <a:ext uri="{FF2B5EF4-FFF2-40B4-BE49-F238E27FC236}">
                  <a16:creationId xmlns:a16="http://schemas.microsoft.com/office/drawing/2014/main" id="{00000000-0008-0000-1B00-00001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294931" name="bpmDropDownFLU136" hidden="1">
              <a:extLst>
                <a:ext uri="{63B3BB69-23CF-44E3-9099-C40C66FF867C}">
                  <a14:compatExt spid="_x0000_s294931"/>
                </a:ext>
                <a:ext uri="{FF2B5EF4-FFF2-40B4-BE49-F238E27FC236}">
                  <a16:creationId xmlns:a16="http://schemas.microsoft.com/office/drawing/2014/main" id="{00000000-0008-0000-1B00-00001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294932" name="bpmDropDownFLU152" hidden="1">
              <a:extLst>
                <a:ext uri="{63B3BB69-23CF-44E3-9099-C40C66FF867C}">
                  <a14:compatExt spid="_x0000_s294932"/>
                </a:ext>
                <a:ext uri="{FF2B5EF4-FFF2-40B4-BE49-F238E27FC236}">
                  <a16:creationId xmlns:a16="http://schemas.microsoft.com/office/drawing/2014/main" id="{00000000-0008-0000-1B00-00001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294933" name="bpmDropDownFLU153" hidden="1">
              <a:extLst>
                <a:ext uri="{63B3BB69-23CF-44E3-9099-C40C66FF867C}">
                  <a14:compatExt spid="_x0000_s294933"/>
                </a:ext>
                <a:ext uri="{FF2B5EF4-FFF2-40B4-BE49-F238E27FC236}">
                  <a16:creationId xmlns:a16="http://schemas.microsoft.com/office/drawing/2014/main" id="{00000000-0008-0000-1B00-00001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294934" name="bpmDropDownFLU154" hidden="1">
              <a:extLst>
                <a:ext uri="{63B3BB69-23CF-44E3-9099-C40C66FF867C}">
                  <a14:compatExt spid="_x0000_s294934"/>
                </a:ext>
                <a:ext uri="{FF2B5EF4-FFF2-40B4-BE49-F238E27FC236}">
                  <a16:creationId xmlns:a16="http://schemas.microsoft.com/office/drawing/2014/main" id="{00000000-0008-0000-1B00-00001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294935" name="bpmDropDownFLU155" hidden="1">
              <a:extLst>
                <a:ext uri="{63B3BB69-23CF-44E3-9099-C40C66FF867C}">
                  <a14:compatExt spid="_x0000_s294935"/>
                </a:ext>
                <a:ext uri="{FF2B5EF4-FFF2-40B4-BE49-F238E27FC236}">
                  <a16:creationId xmlns:a16="http://schemas.microsoft.com/office/drawing/2014/main" id="{00000000-0008-0000-1B00-00001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294936" name="bpmDropDownFLU156" hidden="1">
              <a:extLst>
                <a:ext uri="{63B3BB69-23CF-44E3-9099-C40C66FF867C}">
                  <a14:compatExt spid="_x0000_s294936"/>
                </a:ext>
                <a:ext uri="{FF2B5EF4-FFF2-40B4-BE49-F238E27FC236}">
                  <a16:creationId xmlns:a16="http://schemas.microsoft.com/office/drawing/2014/main" id="{00000000-0008-0000-1B00-00001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294937" name="bpmDropDownFLU157" hidden="1">
              <a:extLst>
                <a:ext uri="{63B3BB69-23CF-44E3-9099-C40C66FF867C}">
                  <a14:compatExt spid="_x0000_s294937"/>
                </a:ext>
                <a:ext uri="{FF2B5EF4-FFF2-40B4-BE49-F238E27FC236}">
                  <a16:creationId xmlns:a16="http://schemas.microsoft.com/office/drawing/2014/main" id="{00000000-0008-0000-1B00-00001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294938" name="bpmDropDownFLU158" hidden="1">
              <a:extLst>
                <a:ext uri="{63B3BB69-23CF-44E3-9099-C40C66FF867C}">
                  <a14:compatExt spid="_x0000_s294938"/>
                </a:ext>
                <a:ext uri="{FF2B5EF4-FFF2-40B4-BE49-F238E27FC236}">
                  <a16:creationId xmlns:a16="http://schemas.microsoft.com/office/drawing/2014/main" id="{00000000-0008-0000-1B00-00001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294939" name="bpmDropDownFLU159" hidden="1">
              <a:extLst>
                <a:ext uri="{63B3BB69-23CF-44E3-9099-C40C66FF867C}">
                  <a14:compatExt spid="_x0000_s294939"/>
                </a:ext>
                <a:ext uri="{FF2B5EF4-FFF2-40B4-BE49-F238E27FC236}">
                  <a16:creationId xmlns:a16="http://schemas.microsoft.com/office/drawing/2014/main" id="{00000000-0008-0000-1B00-00001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294940" name="bpmDropDownFLU160" hidden="1">
              <a:extLst>
                <a:ext uri="{63B3BB69-23CF-44E3-9099-C40C66FF867C}">
                  <a14:compatExt spid="_x0000_s294940"/>
                </a:ext>
                <a:ext uri="{FF2B5EF4-FFF2-40B4-BE49-F238E27FC236}">
                  <a16:creationId xmlns:a16="http://schemas.microsoft.com/office/drawing/2014/main" id="{00000000-0008-0000-1B00-00001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294941" name="bpmDropDownFLU176" hidden="1">
              <a:extLst>
                <a:ext uri="{63B3BB69-23CF-44E3-9099-C40C66FF867C}">
                  <a14:compatExt spid="_x0000_s294941"/>
                </a:ext>
                <a:ext uri="{FF2B5EF4-FFF2-40B4-BE49-F238E27FC236}">
                  <a16:creationId xmlns:a16="http://schemas.microsoft.com/office/drawing/2014/main" id="{00000000-0008-0000-1B00-00001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294948" name="bpmDropDownFLU231" hidden="1">
              <a:extLst>
                <a:ext uri="{63B3BB69-23CF-44E3-9099-C40C66FF867C}">
                  <a14:compatExt spid="_x0000_s294948"/>
                </a:ext>
                <a:ext uri="{FF2B5EF4-FFF2-40B4-BE49-F238E27FC236}">
                  <a16:creationId xmlns:a16="http://schemas.microsoft.com/office/drawing/2014/main" id="{00000000-0008-0000-1B00-00002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7</xdr:col>
          <xdr:colOff>0</xdr:colOff>
          <xdr:row>89</xdr:row>
          <xdr:rowOff>0</xdr:rowOff>
        </xdr:to>
        <xdr:sp macro="" textlink="">
          <xdr:nvSpPr>
            <xdr:cNvPr id="294949" name="bpmDropDownFLU242" hidden="1">
              <a:extLst>
                <a:ext uri="{63B3BB69-23CF-44E3-9099-C40C66FF867C}">
                  <a14:compatExt spid="_x0000_s294949"/>
                </a:ext>
                <a:ext uri="{FF2B5EF4-FFF2-40B4-BE49-F238E27FC236}">
                  <a16:creationId xmlns:a16="http://schemas.microsoft.com/office/drawing/2014/main" id="{00000000-0008-0000-1B00-00002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7</xdr:col>
          <xdr:colOff>0</xdr:colOff>
          <xdr:row>90</xdr:row>
          <xdr:rowOff>0</xdr:rowOff>
        </xdr:to>
        <xdr:sp macro="" textlink="">
          <xdr:nvSpPr>
            <xdr:cNvPr id="294950" name="bpmDropDownFLU243" hidden="1">
              <a:extLst>
                <a:ext uri="{63B3BB69-23CF-44E3-9099-C40C66FF867C}">
                  <a14:compatExt spid="_x0000_s294950"/>
                </a:ext>
                <a:ext uri="{FF2B5EF4-FFF2-40B4-BE49-F238E27FC236}">
                  <a16:creationId xmlns:a16="http://schemas.microsoft.com/office/drawing/2014/main" id="{00000000-0008-0000-1B00-00002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7</xdr:col>
          <xdr:colOff>0</xdr:colOff>
          <xdr:row>91</xdr:row>
          <xdr:rowOff>0</xdr:rowOff>
        </xdr:to>
        <xdr:sp macro="" textlink="">
          <xdr:nvSpPr>
            <xdr:cNvPr id="294951" name="bpmDropDownFLU244" hidden="1">
              <a:extLst>
                <a:ext uri="{63B3BB69-23CF-44E3-9099-C40C66FF867C}">
                  <a14:compatExt spid="_x0000_s294951"/>
                </a:ext>
                <a:ext uri="{FF2B5EF4-FFF2-40B4-BE49-F238E27FC236}">
                  <a16:creationId xmlns:a16="http://schemas.microsoft.com/office/drawing/2014/main" id="{00000000-0008-0000-1B00-00002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7</xdr:col>
          <xdr:colOff>0</xdr:colOff>
          <xdr:row>92</xdr:row>
          <xdr:rowOff>0</xdr:rowOff>
        </xdr:to>
        <xdr:sp macro="" textlink="">
          <xdr:nvSpPr>
            <xdr:cNvPr id="294952" name="bpmDropDownFLU245" hidden="1">
              <a:extLst>
                <a:ext uri="{63B3BB69-23CF-44E3-9099-C40C66FF867C}">
                  <a14:compatExt spid="_x0000_s294952"/>
                </a:ext>
                <a:ext uri="{FF2B5EF4-FFF2-40B4-BE49-F238E27FC236}">
                  <a16:creationId xmlns:a16="http://schemas.microsoft.com/office/drawing/2014/main" id="{00000000-0008-0000-1B00-00002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0</xdr:rowOff>
        </xdr:from>
        <xdr:to>
          <xdr:col>7</xdr:col>
          <xdr:colOff>0</xdr:colOff>
          <xdr:row>93</xdr:row>
          <xdr:rowOff>0</xdr:rowOff>
        </xdr:to>
        <xdr:sp macro="" textlink="">
          <xdr:nvSpPr>
            <xdr:cNvPr id="294953" name="bpmDropDownFLU246" hidden="1">
              <a:extLst>
                <a:ext uri="{63B3BB69-23CF-44E3-9099-C40C66FF867C}">
                  <a14:compatExt spid="_x0000_s294953"/>
                </a:ext>
                <a:ext uri="{FF2B5EF4-FFF2-40B4-BE49-F238E27FC236}">
                  <a16:creationId xmlns:a16="http://schemas.microsoft.com/office/drawing/2014/main" id="{00000000-0008-0000-1B00-00002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7</xdr:col>
          <xdr:colOff>0</xdr:colOff>
          <xdr:row>98</xdr:row>
          <xdr:rowOff>0</xdr:rowOff>
        </xdr:to>
        <xdr:sp macro="" textlink="">
          <xdr:nvSpPr>
            <xdr:cNvPr id="294954" name="bpmDropDownFLU247" hidden="1">
              <a:extLst>
                <a:ext uri="{63B3BB69-23CF-44E3-9099-C40C66FF867C}">
                  <a14:compatExt spid="_x0000_s294954"/>
                </a:ext>
                <a:ext uri="{FF2B5EF4-FFF2-40B4-BE49-F238E27FC236}">
                  <a16:creationId xmlns:a16="http://schemas.microsoft.com/office/drawing/2014/main" id="{00000000-0008-0000-1B00-00002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7</xdr:col>
          <xdr:colOff>0</xdr:colOff>
          <xdr:row>99</xdr:row>
          <xdr:rowOff>0</xdr:rowOff>
        </xdr:to>
        <xdr:sp macro="" textlink="">
          <xdr:nvSpPr>
            <xdr:cNvPr id="294955" name="bpmDropDownFLU248" hidden="1">
              <a:extLst>
                <a:ext uri="{63B3BB69-23CF-44E3-9099-C40C66FF867C}">
                  <a14:compatExt spid="_x0000_s294955"/>
                </a:ext>
                <a:ext uri="{FF2B5EF4-FFF2-40B4-BE49-F238E27FC236}">
                  <a16:creationId xmlns:a16="http://schemas.microsoft.com/office/drawing/2014/main" id="{00000000-0008-0000-1B00-00002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294956" name="bpmDropDownFLU249" hidden="1">
              <a:extLst>
                <a:ext uri="{63B3BB69-23CF-44E3-9099-C40C66FF867C}">
                  <a14:compatExt spid="_x0000_s294956"/>
                </a:ext>
                <a:ext uri="{FF2B5EF4-FFF2-40B4-BE49-F238E27FC236}">
                  <a16:creationId xmlns:a16="http://schemas.microsoft.com/office/drawing/2014/main" id="{00000000-0008-0000-1B00-00002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294957" name="bpmDropDownFLU250" hidden="1">
              <a:extLst>
                <a:ext uri="{63B3BB69-23CF-44E3-9099-C40C66FF867C}">
                  <a14:compatExt spid="_x0000_s294957"/>
                </a:ext>
                <a:ext uri="{FF2B5EF4-FFF2-40B4-BE49-F238E27FC236}">
                  <a16:creationId xmlns:a16="http://schemas.microsoft.com/office/drawing/2014/main" id="{00000000-0008-0000-1B00-00002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294958" name="bpmDropDownFLU251" hidden="1">
              <a:extLst>
                <a:ext uri="{63B3BB69-23CF-44E3-9099-C40C66FF867C}">
                  <a14:compatExt spid="_x0000_s294958"/>
                </a:ext>
                <a:ext uri="{FF2B5EF4-FFF2-40B4-BE49-F238E27FC236}">
                  <a16:creationId xmlns:a16="http://schemas.microsoft.com/office/drawing/2014/main" id="{00000000-0008-0000-1B00-00002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294959" name="bpmDropDownFLU252" hidden="1">
              <a:extLst>
                <a:ext uri="{63B3BB69-23CF-44E3-9099-C40C66FF867C}">
                  <a14:compatExt spid="_x0000_s294959"/>
                </a:ext>
                <a:ext uri="{FF2B5EF4-FFF2-40B4-BE49-F238E27FC236}">
                  <a16:creationId xmlns:a16="http://schemas.microsoft.com/office/drawing/2014/main" id="{00000000-0008-0000-1B00-00002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294960" name="bpmDropDownFLU253" hidden="1">
              <a:extLst>
                <a:ext uri="{63B3BB69-23CF-44E3-9099-C40C66FF867C}">
                  <a14:compatExt spid="_x0000_s294960"/>
                </a:ext>
                <a:ext uri="{FF2B5EF4-FFF2-40B4-BE49-F238E27FC236}">
                  <a16:creationId xmlns:a16="http://schemas.microsoft.com/office/drawing/2014/main" id="{00000000-0008-0000-1B00-00003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294961" name="bpmDropDownFLU254" hidden="1">
              <a:extLst>
                <a:ext uri="{63B3BB69-23CF-44E3-9099-C40C66FF867C}">
                  <a14:compatExt spid="_x0000_s294961"/>
                </a:ext>
                <a:ext uri="{FF2B5EF4-FFF2-40B4-BE49-F238E27FC236}">
                  <a16:creationId xmlns:a16="http://schemas.microsoft.com/office/drawing/2014/main" id="{00000000-0008-0000-1B00-00003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294962" name="bpmDropDownFLU255" hidden="1">
              <a:extLst>
                <a:ext uri="{63B3BB69-23CF-44E3-9099-C40C66FF867C}">
                  <a14:compatExt spid="_x0000_s294962"/>
                </a:ext>
                <a:ext uri="{FF2B5EF4-FFF2-40B4-BE49-F238E27FC236}">
                  <a16:creationId xmlns:a16="http://schemas.microsoft.com/office/drawing/2014/main" id="{00000000-0008-0000-1B00-00003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294963" name="bpmDropDownFLU268" hidden="1">
              <a:extLst>
                <a:ext uri="{63B3BB69-23CF-44E3-9099-C40C66FF867C}">
                  <a14:compatExt spid="_x0000_s294963"/>
                </a:ext>
                <a:ext uri="{FF2B5EF4-FFF2-40B4-BE49-F238E27FC236}">
                  <a16:creationId xmlns:a16="http://schemas.microsoft.com/office/drawing/2014/main" id="{00000000-0008-0000-1B00-00003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294964" name="bpmDropDownFLU269" hidden="1">
              <a:extLst>
                <a:ext uri="{63B3BB69-23CF-44E3-9099-C40C66FF867C}">
                  <a14:compatExt spid="_x0000_s294964"/>
                </a:ext>
                <a:ext uri="{FF2B5EF4-FFF2-40B4-BE49-F238E27FC236}">
                  <a16:creationId xmlns:a16="http://schemas.microsoft.com/office/drawing/2014/main" id="{00000000-0008-0000-1B00-00003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7</xdr:col>
          <xdr:colOff>0</xdr:colOff>
          <xdr:row>117</xdr:row>
          <xdr:rowOff>0</xdr:rowOff>
        </xdr:to>
        <xdr:sp macro="" textlink="">
          <xdr:nvSpPr>
            <xdr:cNvPr id="294965" name="bpmDropDownFLU270" hidden="1">
              <a:extLst>
                <a:ext uri="{63B3BB69-23CF-44E3-9099-C40C66FF867C}">
                  <a14:compatExt spid="_x0000_s294965"/>
                </a:ext>
                <a:ext uri="{FF2B5EF4-FFF2-40B4-BE49-F238E27FC236}">
                  <a16:creationId xmlns:a16="http://schemas.microsoft.com/office/drawing/2014/main" id="{00000000-0008-0000-1B00-00003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7</xdr:col>
          <xdr:colOff>0</xdr:colOff>
          <xdr:row>118</xdr:row>
          <xdr:rowOff>0</xdr:rowOff>
        </xdr:to>
        <xdr:sp macro="" textlink="">
          <xdr:nvSpPr>
            <xdr:cNvPr id="294966" name="bpmDropDownFLU271" hidden="1">
              <a:extLst>
                <a:ext uri="{63B3BB69-23CF-44E3-9099-C40C66FF867C}">
                  <a14:compatExt spid="_x0000_s294966"/>
                </a:ext>
                <a:ext uri="{FF2B5EF4-FFF2-40B4-BE49-F238E27FC236}">
                  <a16:creationId xmlns:a16="http://schemas.microsoft.com/office/drawing/2014/main" id="{00000000-0008-0000-1B00-00003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294973" name="bpmDropDownFLU283" hidden="1">
              <a:extLst>
                <a:ext uri="{63B3BB69-23CF-44E3-9099-C40C66FF867C}">
                  <a14:compatExt spid="_x0000_s294973"/>
                </a:ext>
                <a:ext uri="{FF2B5EF4-FFF2-40B4-BE49-F238E27FC236}">
                  <a16:creationId xmlns:a16="http://schemas.microsoft.com/office/drawing/2014/main" id="{00000000-0008-0000-1B00-00003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294974" name="bpmDropDownFLU284" hidden="1">
              <a:extLst>
                <a:ext uri="{63B3BB69-23CF-44E3-9099-C40C66FF867C}">
                  <a14:compatExt spid="_x0000_s294974"/>
                </a:ext>
                <a:ext uri="{FF2B5EF4-FFF2-40B4-BE49-F238E27FC236}">
                  <a16:creationId xmlns:a16="http://schemas.microsoft.com/office/drawing/2014/main" id="{00000000-0008-0000-1B00-00003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294975" name="bpmDropDownFLU285" hidden="1">
              <a:extLst>
                <a:ext uri="{63B3BB69-23CF-44E3-9099-C40C66FF867C}">
                  <a14:compatExt spid="_x0000_s294975"/>
                </a:ext>
                <a:ext uri="{FF2B5EF4-FFF2-40B4-BE49-F238E27FC236}">
                  <a16:creationId xmlns:a16="http://schemas.microsoft.com/office/drawing/2014/main" id="{00000000-0008-0000-1B00-00003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294976" name="bpmDropDownFLU286" hidden="1">
              <a:extLst>
                <a:ext uri="{63B3BB69-23CF-44E3-9099-C40C66FF867C}">
                  <a14:compatExt spid="_x0000_s294976"/>
                </a:ext>
                <a:ext uri="{FF2B5EF4-FFF2-40B4-BE49-F238E27FC236}">
                  <a16:creationId xmlns:a16="http://schemas.microsoft.com/office/drawing/2014/main" id="{00000000-0008-0000-1B00-00004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294977" name="bpmDropDownFLU287" hidden="1">
              <a:extLst>
                <a:ext uri="{63B3BB69-23CF-44E3-9099-C40C66FF867C}">
                  <a14:compatExt spid="_x0000_s294977"/>
                </a:ext>
                <a:ext uri="{FF2B5EF4-FFF2-40B4-BE49-F238E27FC236}">
                  <a16:creationId xmlns:a16="http://schemas.microsoft.com/office/drawing/2014/main" id="{00000000-0008-0000-1B00-00004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294978" name="bpmDropDownFLU288" hidden="1">
              <a:extLst>
                <a:ext uri="{63B3BB69-23CF-44E3-9099-C40C66FF867C}">
                  <a14:compatExt spid="_x0000_s294978"/>
                </a:ext>
                <a:ext uri="{FF2B5EF4-FFF2-40B4-BE49-F238E27FC236}">
                  <a16:creationId xmlns:a16="http://schemas.microsoft.com/office/drawing/2014/main" id="{00000000-0008-0000-1B00-00004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294979" name="bpmDropDownFLU289" hidden="1">
              <a:extLst>
                <a:ext uri="{63B3BB69-23CF-44E3-9099-C40C66FF867C}">
                  <a14:compatExt spid="_x0000_s294979"/>
                </a:ext>
                <a:ext uri="{FF2B5EF4-FFF2-40B4-BE49-F238E27FC236}">
                  <a16:creationId xmlns:a16="http://schemas.microsoft.com/office/drawing/2014/main" id="{00000000-0008-0000-1B00-00004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294980" name="bpmDropDownFLU290" hidden="1">
              <a:extLst>
                <a:ext uri="{63B3BB69-23CF-44E3-9099-C40C66FF867C}">
                  <a14:compatExt spid="_x0000_s294980"/>
                </a:ext>
                <a:ext uri="{FF2B5EF4-FFF2-40B4-BE49-F238E27FC236}">
                  <a16:creationId xmlns:a16="http://schemas.microsoft.com/office/drawing/2014/main" id="{00000000-0008-0000-1B00-00004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294981" name="bpmDropDownFLU291" hidden="1">
              <a:extLst>
                <a:ext uri="{63B3BB69-23CF-44E3-9099-C40C66FF867C}">
                  <a14:compatExt spid="_x0000_s294981"/>
                </a:ext>
                <a:ext uri="{FF2B5EF4-FFF2-40B4-BE49-F238E27FC236}">
                  <a16:creationId xmlns:a16="http://schemas.microsoft.com/office/drawing/2014/main" id="{00000000-0008-0000-1B00-00004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294982" name="bpmDropDownFLU292" hidden="1">
              <a:extLst>
                <a:ext uri="{63B3BB69-23CF-44E3-9099-C40C66FF867C}">
                  <a14:compatExt spid="_x0000_s294982"/>
                </a:ext>
                <a:ext uri="{FF2B5EF4-FFF2-40B4-BE49-F238E27FC236}">
                  <a16:creationId xmlns:a16="http://schemas.microsoft.com/office/drawing/2014/main" id="{00000000-0008-0000-1B00-00004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294983" name="bpmDropDownFLU293" hidden="1">
              <a:extLst>
                <a:ext uri="{63B3BB69-23CF-44E3-9099-C40C66FF867C}">
                  <a14:compatExt spid="_x0000_s294983"/>
                </a:ext>
                <a:ext uri="{FF2B5EF4-FFF2-40B4-BE49-F238E27FC236}">
                  <a16:creationId xmlns:a16="http://schemas.microsoft.com/office/drawing/2014/main" id="{00000000-0008-0000-1B00-00004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7</xdr:col>
          <xdr:colOff>0</xdr:colOff>
          <xdr:row>156</xdr:row>
          <xdr:rowOff>0</xdr:rowOff>
        </xdr:to>
        <xdr:sp macro="" textlink="">
          <xdr:nvSpPr>
            <xdr:cNvPr id="294984" name="bpmDropDownFLU294" hidden="1">
              <a:extLst>
                <a:ext uri="{63B3BB69-23CF-44E3-9099-C40C66FF867C}">
                  <a14:compatExt spid="_x0000_s294984"/>
                </a:ext>
                <a:ext uri="{FF2B5EF4-FFF2-40B4-BE49-F238E27FC236}">
                  <a16:creationId xmlns:a16="http://schemas.microsoft.com/office/drawing/2014/main" id="{00000000-0008-0000-1B00-00004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294985" name="bpmDropDownFLU295" hidden="1">
              <a:extLst>
                <a:ext uri="{63B3BB69-23CF-44E3-9099-C40C66FF867C}">
                  <a14:compatExt spid="_x0000_s294985"/>
                </a:ext>
                <a:ext uri="{FF2B5EF4-FFF2-40B4-BE49-F238E27FC236}">
                  <a16:creationId xmlns:a16="http://schemas.microsoft.com/office/drawing/2014/main" id="{00000000-0008-0000-1B00-00004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294986" name="bpmDropDownFLU343" hidden="1">
              <a:extLst>
                <a:ext uri="{63B3BB69-23CF-44E3-9099-C40C66FF867C}">
                  <a14:compatExt spid="_x0000_s294986"/>
                </a:ext>
                <a:ext uri="{FF2B5EF4-FFF2-40B4-BE49-F238E27FC236}">
                  <a16:creationId xmlns:a16="http://schemas.microsoft.com/office/drawing/2014/main" id="{00000000-0008-0000-1B00-00004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294987" name="bpmDropDownFLU344" hidden="1">
              <a:extLst>
                <a:ext uri="{63B3BB69-23CF-44E3-9099-C40C66FF867C}">
                  <a14:compatExt spid="_x0000_s294987"/>
                </a:ext>
                <a:ext uri="{FF2B5EF4-FFF2-40B4-BE49-F238E27FC236}">
                  <a16:creationId xmlns:a16="http://schemas.microsoft.com/office/drawing/2014/main" id="{00000000-0008-0000-1B00-00004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294988" name="bpmDropDownFLU345" hidden="1">
              <a:extLst>
                <a:ext uri="{63B3BB69-23CF-44E3-9099-C40C66FF867C}">
                  <a14:compatExt spid="_x0000_s294988"/>
                </a:ext>
                <a:ext uri="{FF2B5EF4-FFF2-40B4-BE49-F238E27FC236}">
                  <a16:creationId xmlns:a16="http://schemas.microsoft.com/office/drawing/2014/main" id="{00000000-0008-0000-1B00-00004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294989" name="bpmDropDownFLU346" hidden="1">
              <a:extLst>
                <a:ext uri="{63B3BB69-23CF-44E3-9099-C40C66FF867C}">
                  <a14:compatExt spid="_x0000_s294989"/>
                </a:ext>
                <a:ext uri="{FF2B5EF4-FFF2-40B4-BE49-F238E27FC236}">
                  <a16:creationId xmlns:a16="http://schemas.microsoft.com/office/drawing/2014/main" id="{00000000-0008-0000-1B00-00004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294990" name="bpmDropDownFLU347" hidden="1">
              <a:extLst>
                <a:ext uri="{63B3BB69-23CF-44E3-9099-C40C66FF867C}">
                  <a14:compatExt spid="_x0000_s294990"/>
                </a:ext>
                <a:ext uri="{FF2B5EF4-FFF2-40B4-BE49-F238E27FC236}">
                  <a16:creationId xmlns:a16="http://schemas.microsoft.com/office/drawing/2014/main" id="{00000000-0008-0000-1B00-00004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7</xdr:col>
          <xdr:colOff>0</xdr:colOff>
          <xdr:row>171</xdr:row>
          <xdr:rowOff>0</xdr:rowOff>
        </xdr:to>
        <xdr:sp macro="" textlink="">
          <xdr:nvSpPr>
            <xdr:cNvPr id="294991" name="bpmDropDownFLU348" hidden="1">
              <a:extLst>
                <a:ext uri="{63B3BB69-23CF-44E3-9099-C40C66FF867C}">
                  <a14:compatExt spid="_x0000_s294991"/>
                </a:ext>
                <a:ext uri="{FF2B5EF4-FFF2-40B4-BE49-F238E27FC236}">
                  <a16:creationId xmlns:a16="http://schemas.microsoft.com/office/drawing/2014/main" id="{00000000-0008-0000-1B00-00004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294992" name="bpmDropDownFLU365" hidden="1">
              <a:extLst>
                <a:ext uri="{63B3BB69-23CF-44E3-9099-C40C66FF867C}">
                  <a14:compatExt spid="_x0000_s294992"/>
                </a:ext>
                <a:ext uri="{FF2B5EF4-FFF2-40B4-BE49-F238E27FC236}">
                  <a16:creationId xmlns:a16="http://schemas.microsoft.com/office/drawing/2014/main" id="{00000000-0008-0000-1B00-00005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7</xdr:col>
          <xdr:colOff>0</xdr:colOff>
          <xdr:row>157</xdr:row>
          <xdr:rowOff>0</xdr:rowOff>
        </xdr:to>
        <xdr:sp macro="" textlink="">
          <xdr:nvSpPr>
            <xdr:cNvPr id="294993" name="bpmDropDownFLU366" hidden="1">
              <a:extLst>
                <a:ext uri="{63B3BB69-23CF-44E3-9099-C40C66FF867C}">
                  <a14:compatExt spid="_x0000_s294993"/>
                </a:ext>
                <a:ext uri="{FF2B5EF4-FFF2-40B4-BE49-F238E27FC236}">
                  <a16:creationId xmlns:a16="http://schemas.microsoft.com/office/drawing/2014/main" id="{00000000-0008-0000-1B00-00005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294994" name="bpmDropDownFLU551" hidden="1">
              <a:extLst>
                <a:ext uri="{63B3BB69-23CF-44E3-9099-C40C66FF867C}">
                  <a14:compatExt spid="_x0000_s294994"/>
                </a:ext>
                <a:ext uri="{FF2B5EF4-FFF2-40B4-BE49-F238E27FC236}">
                  <a16:creationId xmlns:a16="http://schemas.microsoft.com/office/drawing/2014/main" id="{00000000-0008-0000-1B00-00005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294995" name="bpmDropDownFLU932" hidden="1">
              <a:extLst>
                <a:ext uri="{63B3BB69-23CF-44E3-9099-C40C66FF867C}">
                  <a14:compatExt spid="_x0000_s294995"/>
                </a:ext>
                <a:ext uri="{FF2B5EF4-FFF2-40B4-BE49-F238E27FC236}">
                  <a16:creationId xmlns:a16="http://schemas.microsoft.com/office/drawing/2014/main" id="{00000000-0008-0000-1B00-00005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294996" name="bpmDropDownFLU938" hidden="1">
              <a:extLst>
                <a:ext uri="{63B3BB69-23CF-44E3-9099-C40C66FF867C}">
                  <a14:compatExt spid="_x0000_s294996"/>
                </a:ext>
                <a:ext uri="{FF2B5EF4-FFF2-40B4-BE49-F238E27FC236}">
                  <a16:creationId xmlns:a16="http://schemas.microsoft.com/office/drawing/2014/main" id="{00000000-0008-0000-1B00-00005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7</xdr:col>
          <xdr:colOff>0</xdr:colOff>
          <xdr:row>158</xdr:row>
          <xdr:rowOff>0</xdr:rowOff>
        </xdr:to>
        <xdr:sp macro="" textlink="">
          <xdr:nvSpPr>
            <xdr:cNvPr id="294997" name="bpmDropDownFLU939" hidden="1">
              <a:extLst>
                <a:ext uri="{63B3BB69-23CF-44E3-9099-C40C66FF867C}">
                  <a14:compatExt spid="_x0000_s294997"/>
                </a:ext>
                <a:ext uri="{FF2B5EF4-FFF2-40B4-BE49-F238E27FC236}">
                  <a16:creationId xmlns:a16="http://schemas.microsoft.com/office/drawing/2014/main" id="{00000000-0008-0000-1B00-00005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294998" name="bpmDropDownFLU940" hidden="1">
              <a:extLst>
                <a:ext uri="{63B3BB69-23CF-44E3-9099-C40C66FF867C}">
                  <a14:compatExt spid="_x0000_s294998"/>
                </a:ext>
                <a:ext uri="{FF2B5EF4-FFF2-40B4-BE49-F238E27FC236}">
                  <a16:creationId xmlns:a16="http://schemas.microsoft.com/office/drawing/2014/main" id="{00000000-0008-0000-1B00-00005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294999" name="bpmDropDownFLU941" hidden="1">
              <a:extLst>
                <a:ext uri="{63B3BB69-23CF-44E3-9099-C40C66FF867C}">
                  <a14:compatExt spid="_x0000_s294999"/>
                </a:ext>
                <a:ext uri="{FF2B5EF4-FFF2-40B4-BE49-F238E27FC236}">
                  <a16:creationId xmlns:a16="http://schemas.microsoft.com/office/drawing/2014/main" id="{00000000-0008-0000-1B00-00005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295010" name="bpmDropDownFLU1223" hidden="1">
              <a:extLst>
                <a:ext uri="{63B3BB69-23CF-44E3-9099-C40C66FF867C}">
                  <a14:compatExt spid="_x0000_s295010"/>
                </a:ext>
                <a:ext uri="{FF2B5EF4-FFF2-40B4-BE49-F238E27FC236}">
                  <a16:creationId xmlns:a16="http://schemas.microsoft.com/office/drawing/2014/main" id="{00000000-0008-0000-1B00-00006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295011" name="bpmDropDownFLU1224" hidden="1">
              <a:extLst>
                <a:ext uri="{63B3BB69-23CF-44E3-9099-C40C66FF867C}">
                  <a14:compatExt spid="_x0000_s295011"/>
                </a:ext>
                <a:ext uri="{FF2B5EF4-FFF2-40B4-BE49-F238E27FC236}">
                  <a16:creationId xmlns:a16="http://schemas.microsoft.com/office/drawing/2014/main" id="{00000000-0008-0000-1B00-00006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7</xdr:col>
          <xdr:colOff>0</xdr:colOff>
          <xdr:row>51</xdr:row>
          <xdr:rowOff>0</xdr:rowOff>
        </xdr:to>
        <xdr:sp macro="" textlink="">
          <xdr:nvSpPr>
            <xdr:cNvPr id="295012" name="bpmDropDownFLU1225" hidden="1">
              <a:extLst>
                <a:ext uri="{63B3BB69-23CF-44E3-9099-C40C66FF867C}">
                  <a14:compatExt spid="_x0000_s295012"/>
                </a:ext>
                <a:ext uri="{FF2B5EF4-FFF2-40B4-BE49-F238E27FC236}">
                  <a16:creationId xmlns:a16="http://schemas.microsoft.com/office/drawing/2014/main" id="{00000000-0008-0000-1B00-00006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7</xdr:col>
          <xdr:colOff>0</xdr:colOff>
          <xdr:row>52</xdr:row>
          <xdr:rowOff>0</xdr:rowOff>
        </xdr:to>
        <xdr:sp macro="" textlink="">
          <xdr:nvSpPr>
            <xdr:cNvPr id="295013" name="bpmDropDownFLU1226" hidden="1">
              <a:extLst>
                <a:ext uri="{63B3BB69-23CF-44E3-9099-C40C66FF867C}">
                  <a14:compatExt spid="_x0000_s295013"/>
                </a:ext>
                <a:ext uri="{FF2B5EF4-FFF2-40B4-BE49-F238E27FC236}">
                  <a16:creationId xmlns:a16="http://schemas.microsoft.com/office/drawing/2014/main" id="{00000000-0008-0000-1B00-00006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7</xdr:col>
          <xdr:colOff>0</xdr:colOff>
          <xdr:row>53</xdr:row>
          <xdr:rowOff>0</xdr:rowOff>
        </xdr:to>
        <xdr:sp macro="" textlink="">
          <xdr:nvSpPr>
            <xdr:cNvPr id="295014" name="bpmDropDownFLU1227" hidden="1">
              <a:extLst>
                <a:ext uri="{63B3BB69-23CF-44E3-9099-C40C66FF867C}">
                  <a14:compatExt spid="_x0000_s295014"/>
                </a:ext>
                <a:ext uri="{FF2B5EF4-FFF2-40B4-BE49-F238E27FC236}">
                  <a16:creationId xmlns:a16="http://schemas.microsoft.com/office/drawing/2014/main" id="{00000000-0008-0000-1B00-00006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9</xdr:col>
          <xdr:colOff>0</xdr:colOff>
          <xdr:row>131</xdr:row>
          <xdr:rowOff>0</xdr:rowOff>
        </xdr:to>
        <xdr:sp macro="" textlink="">
          <xdr:nvSpPr>
            <xdr:cNvPr id="295016" name="bpmDropDownFLU622" hidden="1">
              <a:extLst>
                <a:ext uri="{63B3BB69-23CF-44E3-9099-C40C66FF867C}">
                  <a14:compatExt spid="_x0000_s295016"/>
                </a:ext>
                <a:ext uri="{FF2B5EF4-FFF2-40B4-BE49-F238E27FC236}">
                  <a16:creationId xmlns:a16="http://schemas.microsoft.com/office/drawing/2014/main" id="{00000000-0008-0000-1B00-00006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0</xdr:rowOff>
        </xdr:from>
        <xdr:to>
          <xdr:col>9</xdr:col>
          <xdr:colOff>0</xdr:colOff>
          <xdr:row>132</xdr:row>
          <xdr:rowOff>0</xdr:rowOff>
        </xdr:to>
        <xdr:sp macro="" textlink="">
          <xdr:nvSpPr>
            <xdr:cNvPr id="295017" name="bpmDropDownFLU623" hidden="1">
              <a:extLst>
                <a:ext uri="{63B3BB69-23CF-44E3-9099-C40C66FF867C}">
                  <a14:compatExt spid="_x0000_s295017"/>
                </a:ext>
                <a:ext uri="{FF2B5EF4-FFF2-40B4-BE49-F238E27FC236}">
                  <a16:creationId xmlns:a16="http://schemas.microsoft.com/office/drawing/2014/main" id="{00000000-0008-0000-1B00-00006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132</xdr:row>
          <xdr:rowOff>0</xdr:rowOff>
        </xdr:from>
        <xdr:to>
          <xdr:col>9</xdr:col>
          <xdr:colOff>0</xdr:colOff>
          <xdr:row>133</xdr:row>
          <xdr:rowOff>0</xdr:rowOff>
        </xdr:to>
        <xdr:sp macro="" textlink="">
          <xdr:nvSpPr>
            <xdr:cNvPr id="295018" name="bpmDropDownFLU643" hidden="1">
              <a:extLst>
                <a:ext uri="{63B3BB69-23CF-44E3-9099-C40C66FF867C}">
                  <a14:compatExt spid="_x0000_s295018"/>
                </a:ext>
                <a:ext uri="{FF2B5EF4-FFF2-40B4-BE49-F238E27FC236}">
                  <a16:creationId xmlns:a16="http://schemas.microsoft.com/office/drawing/2014/main" id="{00000000-0008-0000-1B00-00006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9</xdr:col>
          <xdr:colOff>0</xdr:colOff>
          <xdr:row>134</xdr:row>
          <xdr:rowOff>0</xdr:rowOff>
        </xdr:to>
        <xdr:sp macro="" textlink="">
          <xdr:nvSpPr>
            <xdr:cNvPr id="295019" name="bpmDropDownFLU644" hidden="1">
              <a:extLst>
                <a:ext uri="{63B3BB69-23CF-44E3-9099-C40C66FF867C}">
                  <a14:compatExt spid="_x0000_s295019"/>
                </a:ext>
                <a:ext uri="{FF2B5EF4-FFF2-40B4-BE49-F238E27FC236}">
                  <a16:creationId xmlns:a16="http://schemas.microsoft.com/office/drawing/2014/main" id="{00000000-0008-0000-1B00-00006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134</xdr:row>
          <xdr:rowOff>0</xdr:rowOff>
        </xdr:from>
        <xdr:to>
          <xdr:col>9</xdr:col>
          <xdr:colOff>0</xdr:colOff>
          <xdr:row>135</xdr:row>
          <xdr:rowOff>0</xdr:rowOff>
        </xdr:to>
        <xdr:sp macro="" textlink="">
          <xdr:nvSpPr>
            <xdr:cNvPr id="295020" name="bpmDropDownFLU645" hidden="1">
              <a:extLst>
                <a:ext uri="{63B3BB69-23CF-44E3-9099-C40C66FF867C}">
                  <a14:compatExt spid="_x0000_s295020"/>
                </a:ext>
                <a:ext uri="{FF2B5EF4-FFF2-40B4-BE49-F238E27FC236}">
                  <a16:creationId xmlns:a16="http://schemas.microsoft.com/office/drawing/2014/main" id="{00000000-0008-0000-1B00-00006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135</xdr:row>
          <xdr:rowOff>0</xdr:rowOff>
        </xdr:from>
        <xdr:to>
          <xdr:col>9</xdr:col>
          <xdr:colOff>0</xdr:colOff>
          <xdr:row>136</xdr:row>
          <xdr:rowOff>0</xdr:rowOff>
        </xdr:to>
        <xdr:sp macro="" textlink="">
          <xdr:nvSpPr>
            <xdr:cNvPr id="295021" name="bpmDropDownFLU646" hidden="1">
              <a:extLst>
                <a:ext uri="{63B3BB69-23CF-44E3-9099-C40C66FF867C}">
                  <a14:compatExt spid="_x0000_s295021"/>
                </a:ext>
                <a:ext uri="{FF2B5EF4-FFF2-40B4-BE49-F238E27FC236}">
                  <a16:creationId xmlns:a16="http://schemas.microsoft.com/office/drawing/2014/main" id="{00000000-0008-0000-1B00-00006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0</xdr:rowOff>
        </xdr:from>
        <xdr:to>
          <xdr:col>9</xdr:col>
          <xdr:colOff>0</xdr:colOff>
          <xdr:row>78</xdr:row>
          <xdr:rowOff>0</xdr:rowOff>
        </xdr:to>
        <xdr:sp macro="" textlink="">
          <xdr:nvSpPr>
            <xdr:cNvPr id="295022" name="bpmDropDownFLU647" hidden="1">
              <a:extLst>
                <a:ext uri="{63B3BB69-23CF-44E3-9099-C40C66FF867C}">
                  <a14:compatExt spid="_x0000_s295022"/>
                </a:ext>
                <a:ext uri="{FF2B5EF4-FFF2-40B4-BE49-F238E27FC236}">
                  <a16:creationId xmlns:a16="http://schemas.microsoft.com/office/drawing/2014/main" id="{00000000-0008-0000-1B00-00006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0</xdr:rowOff>
        </xdr:to>
        <xdr:sp macro="" textlink="">
          <xdr:nvSpPr>
            <xdr:cNvPr id="295023" name="bpmDropDownFLU648" hidden="1">
              <a:extLst>
                <a:ext uri="{63B3BB69-23CF-44E3-9099-C40C66FF867C}">
                  <a14:compatExt spid="_x0000_s295023"/>
                </a:ext>
                <a:ext uri="{FF2B5EF4-FFF2-40B4-BE49-F238E27FC236}">
                  <a16:creationId xmlns:a16="http://schemas.microsoft.com/office/drawing/2014/main" id="{00000000-0008-0000-1B00-00006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0</xdr:rowOff>
        </xdr:to>
        <xdr:sp macro="" textlink="">
          <xdr:nvSpPr>
            <xdr:cNvPr id="295024" name="bpmDropDownFLU671" hidden="1">
              <a:extLst>
                <a:ext uri="{63B3BB69-23CF-44E3-9099-C40C66FF867C}">
                  <a14:compatExt spid="_x0000_s295024"/>
                </a:ext>
                <a:ext uri="{FF2B5EF4-FFF2-40B4-BE49-F238E27FC236}">
                  <a16:creationId xmlns:a16="http://schemas.microsoft.com/office/drawing/2014/main" id="{00000000-0008-0000-1B00-00007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295025" name="bpmDropDownFLU672" hidden="1">
              <a:extLst>
                <a:ext uri="{63B3BB69-23CF-44E3-9099-C40C66FF867C}">
                  <a14:compatExt spid="_x0000_s295025"/>
                </a:ext>
                <a:ext uri="{FF2B5EF4-FFF2-40B4-BE49-F238E27FC236}">
                  <a16:creationId xmlns:a16="http://schemas.microsoft.com/office/drawing/2014/main" id="{00000000-0008-0000-1B00-00007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0</xdr:colOff>
          <xdr:row>82</xdr:row>
          <xdr:rowOff>0</xdr:rowOff>
        </xdr:to>
        <xdr:sp macro="" textlink="">
          <xdr:nvSpPr>
            <xdr:cNvPr id="295026" name="bpmDropDownFLU673" hidden="1">
              <a:extLst>
                <a:ext uri="{63B3BB69-23CF-44E3-9099-C40C66FF867C}">
                  <a14:compatExt spid="_x0000_s295026"/>
                </a:ext>
                <a:ext uri="{FF2B5EF4-FFF2-40B4-BE49-F238E27FC236}">
                  <a16:creationId xmlns:a16="http://schemas.microsoft.com/office/drawing/2014/main" id="{00000000-0008-0000-1B00-00007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9</xdr:col>
          <xdr:colOff>0</xdr:colOff>
          <xdr:row>83</xdr:row>
          <xdr:rowOff>0</xdr:rowOff>
        </xdr:to>
        <xdr:sp macro="" textlink="">
          <xdr:nvSpPr>
            <xdr:cNvPr id="295027" name="bpmDropDownFLU674" hidden="1">
              <a:extLst>
                <a:ext uri="{63B3BB69-23CF-44E3-9099-C40C66FF867C}">
                  <a14:compatExt spid="_x0000_s295027"/>
                </a:ext>
                <a:ext uri="{FF2B5EF4-FFF2-40B4-BE49-F238E27FC236}">
                  <a16:creationId xmlns:a16="http://schemas.microsoft.com/office/drawing/2014/main" id="{00000000-0008-0000-1B00-00007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295028" name="bpmDropDownFLU675" hidden="1">
              <a:extLst>
                <a:ext uri="{63B3BB69-23CF-44E3-9099-C40C66FF867C}">
                  <a14:compatExt spid="_x0000_s295028"/>
                </a:ext>
                <a:ext uri="{FF2B5EF4-FFF2-40B4-BE49-F238E27FC236}">
                  <a16:creationId xmlns:a16="http://schemas.microsoft.com/office/drawing/2014/main" id="{00000000-0008-0000-1B00-00007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295029" name="bpmDropDownFLU676" hidden="1">
              <a:extLst>
                <a:ext uri="{63B3BB69-23CF-44E3-9099-C40C66FF867C}">
                  <a14:compatExt spid="_x0000_s295029"/>
                </a:ext>
                <a:ext uri="{FF2B5EF4-FFF2-40B4-BE49-F238E27FC236}">
                  <a16:creationId xmlns:a16="http://schemas.microsoft.com/office/drawing/2014/main" id="{00000000-0008-0000-1B00-00007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95030" name="bpmDropDownFLU677" hidden="1">
              <a:extLst>
                <a:ext uri="{63B3BB69-23CF-44E3-9099-C40C66FF867C}">
                  <a14:compatExt spid="_x0000_s295030"/>
                </a:ext>
                <a:ext uri="{FF2B5EF4-FFF2-40B4-BE49-F238E27FC236}">
                  <a16:creationId xmlns:a16="http://schemas.microsoft.com/office/drawing/2014/main" id="{00000000-0008-0000-1B00-00007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95031" name="bpmDropDownFLU678" hidden="1">
              <a:extLst>
                <a:ext uri="{63B3BB69-23CF-44E3-9099-C40C66FF867C}">
                  <a14:compatExt spid="_x0000_s295031"/>
                </a:ext>
                <a:ext uri="{FF2B5EF4-FFF2-40B4-BE49-F238E27FC236}">
                  <a16:creationId xmlns:a16="http://schemas.microsoft.com/office/drawing/2014/main" id="{00000000-0008-0000-1B00-00007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95032" name="bpmDropDownFLU679" hidden="1">
              <a:extLst>
                <a:ext uri="{63B3BB69-23CF-44E3-9099-C40C66FF867C}">
                  <a14:compatExt spid="_x0000_s295032"/>
                </a:ext>
                <a:ext uri="{FF2B5EF4-FFF2-40B4-BE49-F238E27FC236}">
                  <a16:creationId xmlns:a16="http://schemas.microsoft.com/office/drawing/2014/main" id="{00000000-0008-0000-1B00-00007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95033" name="bpmDropDownFLU687" hidden="1">
              <a:extLst>
                <a:ext uri="{63B3BB69-23CF-44E3-9099-C40C66FF867C}">
                  <a14:compatExt spid="_x0000_s295033"/>
                </a:ext>
                <a:ext uri="{FF2B5EF4-FFF2-40B4-BE49-F238E27FC236}">
                  <a16:creationId xmlns:a16="http://schemas.microsoft.com/office/drawing/2014/main" id="{00000000-0008-0000-1B00-00007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95034" name="bpmDropDownFLU689" hidden="1">
              <a:extLst>
                <a:ext uri="{63B3BB69-23CF-44E3-9099-C40C66FF867C}">
                  <a14:compatExt spid="_x0000_s295034"/>
                </a:ext>
                <a:ext uri="{FF2B5EF4-FFF2-40B4-BE49-F238E27FC236}">
                  <a16:creationId xmlns:a16="http://schemas.microsoft.com/office/drawing/2014/main" id="{00000000-0008-0000-1B00-00007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95035" name="bpmDropDownFLU690" hidden="1">
              <a:extLst>
                <a:ext uri="{63B3BB69-23CF-44E3-9099-C40C66FF867C}">
                  <a14:compatExt spid="_x0000_s295035"/>
                </a:ext>
                <a:ext uri="{FF2B5EF4-FFF2-40B4-BE49-F238E27FC236}">
                  <a16:creationId xmlns:a16="http://schemas.microsoft.com/office/drawing/2014/main" id="{00000000-0008-0000-1B00-00007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295037" name="bpmDropDownFLU692" hidden="1">
              <a:extLst>
                <a:ext uri="{63B3BB69-23CF-44E3-9099-C40C66FF867C}">
                  <a14:compatExt spid="_x0000_s295037"/>
                </a:ext>
                <a:ext uri="{FF2B5EF4-FFF2-40B4-BE49-F238E27FC236}">
                  <a16:creationId xmlns:a16="http://schemas.microsoft.com/office/drawing/2014/main" id="{00000000-0008-0000-1B00-00007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295038" name="bpmDropDownFLU693" hidden="1">
              <a:extLst>
                <a:ext uri="{63B3BB69-23CF-44E3-9099-C40C66FF867C}">
                  <a14:compatExt spid="_x0000_s295038"/>
                </a:ext>
                <a:ext uri="{FF2B5EF4-FFF2-40B4-BE49-F238E27FC236}">
                  <a16:creationId xmlns:a16="http://schemas.microsoft.com/office/drawing/2014/main" id="{00000000-0008-0000-1B00-00007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295039" name="bpmDropDownFLU694" hidden="1">
              <a:extLst>
                <a:ext uri="{63B3BB69-23CF-44E3-9099-C40C66FF867C}">
                  <a14:compatExt spid="_x0000_s295039"/>
                </a:ext>
                <a:ext uri="{FF2B5EF4-FFF2-40B4-BE49-F238E27FC236}">
                  <a16:creationId xmlns:a16="http://schemas.microsoft.com/office/drawing/2014/main" id="{00000000-0008-0000-1B00-00007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295040" name="bpmDropDownFLU695" hidden="1">
              <a:extLst>
                <a:ext uri="{63B3BB69-23CF-44E3-9099-C40C66FF867C}">
                  <a14:compatExt spid="_x0000_s295040"/>
                </a:ext>
                <a:ext uri="{FF2B5EF4-FFF2-40B4-BE49-F238E27FC236}">
                  <a16:creationId xmlns:a16="http://schemas.microsoft.com/office/drawing/2014/main" id="{00000000-0008-0000-1B00-00008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295041" name="bpmDropDownFLU696" hidden="1">
              <a:extLst>
                <a:ext uri="{63B3BB69-23CF-44E3-9099-C40C66FF867C}">
                  <a14:compatExt spid="_x0000_s295041"/>
                </a:ext>
                <a:ext uri="{FF2B5EF4-FFF2-40B4-BE49-F238E27FC236}">
                  <a16:creationId xmlns:a16="http://schemas.microsoft.com/office/drawing/2014/main" id="{00000000-0008-0000-1B00-00008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295042" name="bpmDropDownFLU697" hidden="1">
              <a:extLst>
                <a:ext uri="{63B3BB69-23CF-44E3-9099-C40C66FF867C}">
                  <a14:compatExt spid="_x0000_s295042"/>
                </a:ext>
                <a:ext uri="{FF2B5EF4-FFF2-40B4-BE49-F238E27FC236}">
                  <a16:creationId xmlns:a16="http://schemas.microsoft.com/office/drawing/2014/main" id="{00000000-0008-0000-1B00-00008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295043" name="bpmDropDownFLU698" hidden="1">
              <a:extLst>
                <a:ext uri="{63B3BB69-23CF-44E3-9099-C40C66FF867C}">
                  <a14:compatExt spid="_x0000_s295043"/>
                </a:ext>
                <a:ext uri="{FF2B5EF4-FFF2-40B4-BE49-F238E27FC236}">
                  <a16:creationId xmlns:a16="http://schemas.microsoft.com/office/drawing/2014/main" id="{00000000-0008-0000-1B00-00008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295044" name="bpmDropDownFLU699" hidden="1">
              <a:extLst>
                <a:ext uri="{63B3BB69-23CF-44E3-9099-C40C66FF867C}">
                  <a14:compatExt spid="_x0000_s295044"/>
                </a:ext>
                <a:ext uri="{FF2B5EF4-FFF2-40B4-BE49-F238E27FC236}">
                  <a16:creationId xmlns:a16="http://schemas.microsoft.com/office/drawing/2014/main" id="{00000000-0008-0000-1B00-00008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295045" name="bpmDropDownFLU700" hidden="1">
              <a:extLst>
                <a:ext uri="{63B3BB69-23CF-44E3-9099-C40C66FF867C}">
                  <a14:compatExt spid="_x0000_s295045"/>
                </a:ext>
                <a:ext uri="{FF2B5EF4-FFF2-40B4-BE49-F238E27FC236}">
                  <a16:creationId xmlns:a16="http://schemas.microsoft.com/office/drawing/2014/main" id="{00000000-0008-0000-1B00-00008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295046" name="bpmDropDownFLU701" hidden="1">
              <a:extLst>
                <a:ext uri="{63B3BB69-23CF-44E3-9099-C40C66FF867C}">
                  <a14:compatExt spid="_x0000_s295046"/>
                </a:ext>
                <a:ext uri="{FF2B5EF4-FFF2-40B4-BE49-F238E27FC236}">
                  <a16:creationId xmlns:a16="http://schemas.microsoft.com/office/drawing/2014/main" id="{00000000-0008-0000-1B00-00008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295047" name="bpmDropDownFLU702" hidden="1">
              <a:extLst>
                <a:ext uri="{63B3BB69-23CF-44E3-9099-C40C66FF867C}">
                  <a14:compatExt spid="_x0000_s295047"/>
                </a:ext>
                <a:ext uri="{FF2B5EF4-FFF2-40B4-BE49-F238E27FC236}">
                  <a16:creationId xmlns:a16="http://schemas.microsoft.com/office/drawing/2014/main" id="{00000000-0008-0000-1B00-00008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295048" name="bpmDropDownFLU703" hidden="1">
              <a:extLst>
                <a:ext uri="{63B3BB69-23CF-44E3-9099-C40C66FF867C}">
                  <a14:compatExt spid="_x0000_s295048"/>
                </a:ext>
                <a:ext uri="{FF2B5EF4-FFF2-40B4-BE49-F238E27FC236}">
                  <a16:creationId xmlns:a16="http://schemas.microsoft.com/office/drawing/2014/main" id="{00000000-0008-0000-1B00-00008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295049" name="bpmDropDownFLU704" hidden="1">
              <a:extLst>
                <a:ext uri="{63B3BB69-23CF-44E3-9099-C40C66FF867C}">
                  <a14:compatExt spid="_x0000_s295049"/>
                </a:ext>
                <a:ext uri="{FF2B5EF4-FFF2-40B4-BE49-F238E27FC236}">
                  <a16:creationId xmlns:a16="http://schemas.microsoft.com/office/drawing/2014/main" id="{00000000-0008-0000-1B00-00008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295050" name="bpmDropDownFLU705" hidden="1">
              <a:extLst>
                <a:ext uri="{63B3BB69-23CF-44E3-9099-C40C66FF867C}">
                  <a14:compatExt spid="_x0000_s295050"/>
                </a:ext>
                <a:ext uri="{FF2B5EF4-FFF2-40B4-BE49-F238E27FC236}">
                  <a16:creationId xmlns:a16="http://schemas.microsoft.com/office/drawing/2014/main" id="{00000000-0008-0000-1B00-00008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295051" name="bpmDropDownFLU706" hidden="1">
              <a:extLst>
                <a:ext uri="{63B3BB69-23CF-44E3-9099-C40C66FF867C}">
                  <a14:compatExt spid="_x0000_s295051"/>
                </a:ext>
                <a:ext uri="{FF2B5EF4-FFF2-40B4-BE49-F238E27FC236}">
                  <a16:creationId xmlns:a16="http://schemas.microsoft.com/office/drawing/2014/main" id="{00000000-0008-0000-1B00-00008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295053" name="bpmDropDownFLU708" hidden="1">
              <a:extLst>
                <a:ext uri="{63B3BB69-23CF-44E3-9099-C40C66FF867C}">
                  <a14:compatExt spid="_x0000_s295053"/>
                </a:ext>
                <a:ext uri="{FF2B5EF4-FFF2-40B4-BE49-F238E27FC236}">
                  <a16:creationId xmlns:a16="http://schemas.microsoft.com/office/drawing/2014/main" id="{00000000-0008-0000-1B00-00008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295054" name="bpmDropDownFLU709" hidden="1">
              <a:extLst>
                <a:ext uri="{63B3BB69-23CF-44E3-9099-C40C66FF867C}">
                  <a14:compatExt spid="_x0000_s295054"/>
                </a:ext>
                <a:ext uri="{FF2B5EF4-FFF2-40B4-BE49-F238E27FC236}">
                  <a16:creationId xmlns:a16="http://schemas.microsoft.com/office/drawing/2014/main" id="{00000000-0008-0000-1B00-00008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295055" name="bpmDropDownFLU710" hidden="1">
              <a:extLst>
                <a:ext uri="{63B3BB69-23CF-44E3-9099-C40C66FF867C}">
                  <a14:compatExt spid="_x0000_s295055"/>
                </a:ext>
                <a:ext uri="{FF2B5EF4-FFF2-40B4-BE49-F238E27FC236}">
                  <a16:creationId xmlns:a16="http://schemas.microsoft.com/office/drawing/2014/main" id="{00000000-0008-0000-1B00-00008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295056" name="bpmDropDownFLU711" hidden="1">
              <a:extLst>
                <a:ext uri="{63B3BB69-23CF-44E3-9099-C40C66FF867C}">
                  <a14:compatExt spid="_x0000_s295056"/>
                </a:ext>
                <a:ext uri="{FF2B5EF4-FFF2-40B4-BE49-F238E27FC236}">
                  <a16:creationId xmlns:a16="http://schemas.microsoft.com/office/drawing/2014/main" id="{00000000-0008-0000-1B00-000090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295057" name="bpmDropDownFLU712" hidden="1">
              <a:extLst>
                <a:ext uri="{63B3BB69-23CF-44E3-9099-C40C66FF867C}">
                  <a14:compatExt spid="_x0000_s295057"/>
                </a:ext>
                <a:ext uri="{FF2B5EF4-FFF2-40B4-BE49-F238E27FC236}">
                  <a16:creationId xmlns:a16="http://schemas.microsoft.com/office/drawing/2014/main" id="{00000000-0008-0000-1B00-000091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295058" name="bpmDropDownFLU713" hidden="1">
              <a:extLst>
                <a:ext uri="{63B3BB69-23CF-44E3-9099-C40C66FF867C}">
                  <a14:compatExt spid="_x0000_s295058"/>
                </a:ext>
                <a:ext uri="{FF2B5EF4-FFF2-40B4-BE49-F238E27FC236}">
                  <a16:creationId xmlns:a16="http://schemas.microsoft.com/office/drawing/2014/main" id="{00000000-0008-0000-1B00-000092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7</xdr:col>
          <xdr:colOff>0</xdr:colOff>
          <xdr:row>30</xdr:row>
          <xdr:rowOff>0</xdr:rowOff>
        </xdr:to>
        <xdr:sp macro="" textlink="">
          <xdr:nvSpPr>
            <xdr:cNvPr id="295059" name="bpmDropDownFLU714" hidden="1">
              <a:extLst>
                <a:ext uri="{63B3BB69-23CF-44E3-9099-C40C66FF867C}">
                  <a14:compatExt spid="_x0000_s295059"/>
                </a:ext>
                <a:ext uri="{FF2B5EF4-FFF2-40B4-BE49-F238E27FC236}">
                  <a16:creationId xmlns:a16="http://schemas.microsoft.com/office/drawing/2014/main" id="{00000000-0008-0000-1B00-000093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295060" name="bpmDropDownFLU715" hidden="1">
              <a:extLst>
                <a:ext uri="{63B3BB69-23CF-44E3-9099-C40C66FF867C}">
                  <a14:compatExt spid="_x0000_s295060"/>
                </a:ext>
                <a:ext uri="{FF2B5EF4-FFF2-40B4-BE49-F238E27FC236}">
                  <a16:creationId xmlns:a16="http://schemas.microsoft.com/office/drawing/2014/main" id="{00000000-0008-0000-1B00-000094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295061" name="bpmDropDownFLU716" hidden="1">
              <a:extLst>
                <a:ext uri="{63B3BB69-23CF-44E3-9099-C40C66FF867C}">
                  <a14:compatExt spid="_x0000_s295061"/>
                </a:ext>
                <a:ext uri="{FF2B5EF4-FFF2-40B4-BE49-F238E27FC236}">
                  <a16:creationId xmlns:a16="http://schemas.microsoft.com/office/drawing/2014/main" id="{00000000-0008-0000-1B00-000095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295062" name="bpmDropDownFLU717" hidden="1">
              <a:extLst>
                <a:ext uri="{63B3BB69-23CF-44E3-9099-C40C66FF867C}">
                  <a14:compatExt spid="_x0000_s295062"/>
                </a:ext>
                <a:ext uri="{FF2B5EF4-FFF2-40B4-BE49-F238E27FC236}">
                  <a16:creationId xmlns:a16="http://schemas.microsoft.com/office/drawing/2014/main" id="{00000000-0008-0000-1B00-000096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295063" name="bpmDropDownFLU718" hidden="1">
              <a:extLst>
                <a:ext uri="{63B3BB69-23CF-44E3-9099-C40C66FF867C}">
                  <a14:compatExt spid="_x0000_s295063"/>
                </a:ext>
                <a:ext uri="{FF2B5EF4-FFF2-40B4-BE49-F238E27FC236}">
                  <a16:creationId xmlns:a16="http://schemas.microsoft.com/office/drawing/2014/main" id="{00000000-0008-0000-1B00-000097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295064" name="bpmDropDownFLU719" hidden="1">
              <a:extLst>
                <a:ext uri="{63B3BB69-23CF-44E3-9099-C40C66FF867C}">
                  <a14:compatExt spid="_x0000_s295064"/>
                </a:ext>
                <a:ext uri="{FF2B5EF4-FFF2-40B4-BE49-F238E27FC236}">
                  <a16:creationId xmlns:a16="http://schemas.microsoft.com/office/drawing/2014/main" id="{00000000-0008-0000-1B00-000098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295065" name="bpmDropDownFLU720" hidden="1">
              <a:extLst>
                <a:ext uri="{63B3BB69-23CF-44E3-9099-C40C66FF867C}">
                  <a14:compatExt spid="_x0000_s295065"/>
                </a:ext>
                <a:ext uri="{FF2B5EF4-FFF2-40B4-BE49-F238E27FC236}">
                  <a16:creationId xmlns:a16="http://schemas.microsoft.com/office/drawing/2014/main" id="{00000000-0008-0000-1B00-000099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295066" name="bpmDropDownFLU721" hidden="1">
              <a:extLst>
                <a:ext uri="{63B3BB69-23CF-44E3-9099-C40C66FF867C}">
                  <a14:compatExt spid="_x0000_s295066"/>
                </a:ext>
                <a:ext uri="{FF2B5EF4-FFF2-40B4-BE49-F238E27FC236}">
                  <a16:creationId xmlns:a16="http://schemas.microsoft.com/office/drawing/2014/main" id="{00000000-0008-0000-1B00-00009A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295067" name="bpmDropDownFLU722" hidden="1">
              <a:extLst>
                <a:ext uri="{63B3BB69-23CF-44E3-9099-C40C66FF867C}">
                  <a14:compatExt spid="_x0000_s295067"/>
                </a:ext>
                <a:ext uri="{FF2B5EF4-FFF2-40B4-BE49-F238E27FC236}">
                  <a16:creationId xmlns:a16="http://schemas.microsoft.com/office/drawing/2014/main" id="{00000000-0008-0000-1B00-00009B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295068" name="bpmDropDownFLU723" hidden="1">
              <a:extLst>
                <a:ext uri="{63B3BB69-23CF-44E3-9099-C40C66FF867C}">
                  <a14:compatExt spid="_x0000_s295068"/>
                </a:ext>
                <a:ext uri="{FF2B5EF4-FFF2-40B4-BE49-F238E27FC236}">
                  <a16:creationId xmlns:a16="http://schemas.microsoft.com/office/drawing/2014/main" id="{00000000-0008-0000-1B00-00009C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295069" name="bpmDropDownFLU724" hidden="1">
              <a:extLst>
                <a:ext uri="{63B3BB69-23CF-44E3-9099-C40C66FF867C}">
                  <a14:compatExt spid="_x0000_s295069"/>
                </a:ext>
                <a:ext uri="{FF2B5EF4-FFF2-40B4-BE49-F238E27FC236}">
                  <a16:creationId xmlns:a16="http://schemas.microsoft.com/office/drawing/2014/main" id="{00000000-0008-0000-1B00-00009D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295070" name="bpmDropDownFLU725" hidden="1">
              <a:extLst>
                <a:ext uri="{63B3BB69-23CF-44E3-9099-C40C66FF867C}">
                  <a14:compatExt spid="_x0000_s295070"/>
                </a:ext>
                <a:ext uri="{FF2B5EF4-FFF2-40B4-BE49-F238E27FC236}">
                  <a16:creationId xmlns:a16="http://schemas.microsoft.com/office/drawing/2014/main" id="{00000000-0008-0000-1B00-00009E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0</xdr:rowOff>
        </xdr:from>
        <xdr:to>
          <xdr:col>7</xdr:col>
          <xdr:colOff>0</xdr:colOff>
          <xdr:row>136</xdr:row>
          <xdr:rowOff>0</xdr:rowOff>
        </xdr:to>
        <xdr:sp macro="" textlink="">
          <xdr:nvSpPr>
            <xdr:cNvPr id="295071" name="bpmDropDownFLU726" hidden="1">
              <a:extLst>
                <a:ext uri="{63B3BB69-23CF-44E3-9099-C40C66FF867C}">
                  <a14:compatExt spid="_x0000_s295071"/>
                </a:ext>
                <a:ext uri="{FF2B5EF4-FFF2-40B4-BE49-F238E27FC236}">
                  <a16:creationId xmlns:a16="http://schemas.microsoft.com/office/drawing/2014/main" id="{00000000-0008-0000-1B00-00009F80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1428750</xdr:colOff>
      <xdr:row>0</xdr:row>
      <xdr:rowOff>257175</xdr:rowOff>
    </xdr:from>
    <xdr:to>
      <xdr:col>10</xdr:col>
      <xdr:colOff>771525</xdr:colOff>
      <xdr:row>2</xdr:row>
      <xdr:rowOff>57150</xdr:rowOff>
    </xdr:to>
    <xdr:sp macro="" textlink="">
      <xdr:nvSpPr>
        <xdr:cNvPr id="128" name="Auto Shape 1">
          <a:hlinkClick xmlns:r="http://schemas.openxmlformats.org/officeDocument/2006/relationships" r:id="rId1"/>
          <a:extLst>
            <a:ext uri="{FF2B5EF4-FFF2-40B4-BE49-F238E27FC236}">
              <a16:creationId xmlns:a16="http://schemas.microsoft.com/office/drawing/2014/main" id="{00000000-0008-0000-1B00-000080000000}"/>
            </a:ext>
          </a:extLst>
        </xdr:cNvPr>
        <xdr:cNvSpPr/>
      </xdr:nvSpPr>
      <xdr:spPr>
        <a:xfrm>
          <a:off x="7800975" y="257175"/>
          <a:ext cx="16764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129" name="Picture 1">
          <a:hlinkClick xmlns:r="http://schemas.openxmlformats.org/officeDocument/2006/relationships" r:id="rId2"/>
          <a:extLst>
            <a:ext uri="{FF2B5EF4-FFF2-40B4-BE49-F238E27FC236}">
              <a16:creationId xmlns:a16="http://schemas.microsoft.com/office/drawing/2014/main" id="{00000000-0008-0000-1B00-000081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7</xdr:col>
      <xdr:colOff>1009650</xdr:colOff>
      <xdr:row>2</xdr:row>
      <xdr:rowOff>9525</xdr:rowOff>
    </xdr:from>
    <xdr:to>
      <xdr:col>9</xdr:col>
      <xdr:colOff>857251</xdr:colOff>
      <xdr:row>3</xdr:row>
      <xdr:rowOff>133350</xdr:rowOff>
    </xdr:to>
    <xdr:sp macro="" textlink="">
      <xdr:nvSpPr>
        <xdr:cNvPr id="131" name="Auto Shape 2">
          <a:hlinkClick xmlns:r="http://schemas.openxmlformats.org/officeDocument/2006/relationships" r:id="rId4"/>
          <a:extLst>
            <a:ext uri="{FF2B5EF4-FFF2-40B4-BE49-F238E27FC236}">
              <a16:creationId xmlns:a16="http://schemas.microsoft.com/office/drawing/2014/main" id="{00000000-0008-0000-1B00-000083000000}"/>
            </a:ext>
          </a:extLst>
        </xdr:cNvPr>
        <xdr:cNvSpPr/>
      </xdr:nvSpPr>
      <xdr:spPr>
        <a:xfrm>
          <a:off x="4238625" y="514350"/>
          <a:ext cx="2990851" cy="314325"/>
        </a:xfrm>
        <a:prstGeom prst="snip1Rect">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t>COMMUNICATION</a:t>
          </a:r>
          <a:r>
            <a:rPr lang="en-US" sz="1100" b="1" baseline="0"/>
            <a:t>  (IEC) /  MOBILISATION</a:t>
          </a:r>
          <a:endParaRPr lang="en-US" sz="1100" b="1"/>
        </a:p>
      </xdr:txBody>
    </xdr:sp>
    <xdr:clientData/>
  </xdr:twoCellAnchor>
  <xdr:twoCellAnchor editAs="oneCell">
    <xdr:from>
      <xdr:col>9</xdr:col>
      <xdr:colOff>685800</xdr:colOff>
      <xdr:row>0</xdr:row>
      <xdr:rowOff>85725</xdr:rowOff>
    </xdr:from>
    <xdr:to>
      <xdr:col>9</xdr:col>
      <xdr:colOff>1190625</xdr:colOff>
      <xdr:row>2</xdr:row>
      <xdr:rowOff>76138</xdr:rowOff>
    </xdr:to>
    <xdr:pic>
      <xdr:nvPicPr>
        <xdr:cNvPr id="132" name="Picture 2">
          <a:extLst>
            <a:ext uri="{FF2B5EF4-FFF2-40B4-BE49-F238E27FC236}">
              <a16:creationId xmlns:a16="http://schemas.microsoft.com/office/drawing/2014/main" id="{00000000-0008-0000-1B00-000084000000}"/>
            </a:ext>
          </a:extLst>
        </xdr:cNvPr>
        <xdr:cNvPicPr>
          <a:picLocks noChangeAspect="1"/>
        </xdr:cNvPicPr>
      </xdr:nvPicPr>
      <xdr:blipFill>
        <a:blip xmlns:r="http://schemas.openxmlformats.org/officeDocument/2006/relationships" r:embed="rId5"/>
        <a:stretch>
          <a:fillRect/>
        </a:stretch>
      </xdr:blipFill>
      <xdr:spPr>
        <a:xfrm>
          <a:off x="7058025" y="85725"/>
          <a:ext cx="504825" cy="49523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7</xdr:col>
          <xdr:colOff>0</xdr:colOff>
          <xdr:row>34</xdr:row>
          <xdr:rowOff>0</xdr:rowOff>
        </xdr:to>
        <xdr:sp macro="" textlink="">
          <xdr:nvSpPr>
            <xdr:cNvPr id="362502" name="bpmDropDownFLU624" hidden="1">
              <a:extLst>
                <a:ext uri="{63B3BB69-23CF-44E3-9099-C40C66FF867C}">
                  <a14:compatExt spid="_x0000_s362502"/>
                </a:ext>
                <a:ext uri="{FF2B5EF4-FFF2-40B4-BE49-F238E27FC236}">
                  <a16:creationId xmlns:a16="http://schemas.microsoft.com/office/drawing/2014/main" id="{00000000-0008-0000-1C00-00000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362503" name="bpmDropDownFLU625" hidden="1">
              <a:extLst>
                <a:ext uri="{63B3BB69-23CF-44E3-9099-C40C66FF867C}">
                  <a14:compatExt spid="_x0000_s362503"/>
                </a:ext>
                <a:ext uri="{FF2B5EF4-FFF2-40B4-BE49-F238E27FC236}">
                  <a16:creationId xmlns:a16="http://schemas.microsoft.com/office/drawing/2014/main" id="{00000000-0008-0000-1C00-00000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362504" name="bpmDropDownFLU626" hidden="1">
              <a:extLst>
                <a:ext uri="{63B3BB69-23CF-44E3-9099-C40C66FF867C}">
                  <a14:compatExt spid="_x0000_s362504"/>
                </a:ext>
                <a:ext uri="{FF2B5EF4-FFF2-40B4-BE49-F238E27FC236}">
                  <a16:creationId xmlns:a16="http://schemas.microsoft.com/office/drawing/2014/main" id="{00000000-0008-0000-1C00-00000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362505" name="bpmDropDownFLU627" hidden="1">
              <a:extLst>
                <a:ext uri="{63B3BB69-23CF-44E3-9099-C40C66FF867C}">
                  <a14:compatExt spid="_x0000_s362505"/>
                </a:ext>
                <a:ext uri="{FF2B5EF4-FFF2-40B4-BE49-F238E27FC236}">
                  <a16:creationId xmlns:a16="http://schemas.microsoft.com/office/drawing/2014/main" id="{00000000-0008-0000-1C00-00000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362506" name="bpmDropDownFLU628" hidden="1">
              <a:extLst>
                <a:ext uri="{63B3BB69-23CF-44E3-9099-C40C66FF867C}">
                  <a14:compatExt spid="_x0000_s362506"/>
                </a:ext>
                <a:ext uri="{FF2B5EF4-FFF2-40B4-BE49-F238E27FC236}">
                  <a16:creationId xmlns:a16="http://schemas.microsoft.com/office/drawing/2014/main" id="{00000000-0008-0000-1C00-00000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362507" name="bpmDropDownFLU629" hidden="1">
              <a:extLst>
                <a:ext uri="{63B3BB69-23CF-44E3-9099-C40C66FF867C}">
                  <a14:compatExt spid="_x0000_s362507"/>
                </a:ext>
                <a:ext uri="{FF2B5EF4-FFF2-40B4-BE49-F238E27FC236}">
                  <a16:creationId xmlns:a16="http://schemas.microsoft.com/office/drawing/2014/main" id="{00000000-0008-0000-1C00-00000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362508" name="bpmDropDownFLU630" hidden="1">
              <a:extLst>
                <a:ext uri="{63B3BB69-23CF-44E3-9099-C40C66FF867C}">
                  <a14:compatExt spid="_x0000_s362508"/>
                </a:ext>
                <a:ext uri="{FF2B5EF4-FFF2-40B4-BE49-F238E27FC236}">
                  <a16:creationId xmlns:a16="http://schemas.microsoft.com/office/drawing/2014/main" id="{00000000-0008-0000-1C00-00000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362509" name="bpmDropDownFLU631" hidden="1">
              <a:extLst>
                <a:ext uri="{63B3BB69-23CF-44E3-9099-C40C66FF867C}">
                  <a14:compatExt spid="_x0000_s362509"/>
                </a:ext>
                <a:ext uri="{FF2B5EF4-FFF2-40B4-BE49-F238E27FC236}">
                  <a16:creationId xmlns:a16="http://schemas.microsoft.com/office/drawing/2014/main" id="{00000000-0008-0000-1C00-00000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362510" name="bpmDropDownFLU632" hidden="1">
              <a:extLst>
                <a:ext uri="{63B3BB69-23CF-44E3-9099-C40C66FF867C}">
                  <a14:compatExt spid="_x0000_s362510"/>
                </a:ext>
                <a:ext uri="{FF2B5EF4-FFF2-40B4-BE49-F238E27FC236}">
                  <a16:creationId xmlns:a16="http://schemas.microsoft.com/office/drawing/2014/main" id="{00000000-0008-0000-1C00-00000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362511" name="bpmDropDownFLU633" hidden="1">
              <a:extLst>
                <a:ext uri="{63B3BB69-23CF-44E3-9099-C40C66FF867C}">
                  <a14:compatExt spid="_x0000_s362511"/>
                </a:ext>
                <a:ext uri="{FF2B5EF4-FFF2-40B4-BE49-F238E27FC236}">
                  <a16:creationId xmlns:a16="http://schemas.microsoft.com/office/drawing/2014/main" id="{00000000-0008-0000-1C00-00000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362512" name="bpmDropDownFLU634" hidden="1">
              <a:extLst>
                <a:ext uri="{63B3BB69-23CF-44E3-9099-C40C66FF867C}">
                  <a14:compatExt spid="_x0000_s362512"/>
                </a:ext>
                <a:ext uri="{FF2B5EF4-FFF2-40B4-BE49-F238E27FC236}">
                  <a16:creationId xmlns:a16="http://schemas.microsoft.com/office/drawing/2014/main" id="{00000000-0008-0000-1C00-00001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362513" name="bpmDropDownFLU635" hidden="1">
              <a:extLst>
                <a:ext uri="{63B3BB69-23CF-44E3-9099-C40C66FF867C}">
                  <a14:compatExt spid="_x0000_s362513"/>
                </a:ext>
                <a:ext uri="{FF2B5EF4-FFF2-40B4-BE49-F238E27FC236}">
                  <a16:creationId xmlns:a16="http://schemas.microsoft.com/office/drawing/2014/main" id="{00000000-0008-0000-1C00-00001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362514" name="bpmDropDownFLU636" hidden="1">
              <a:extLst>
                <a:ext uri="{63B3BB69-23CF-44E3-9099-C40C66FF867C}">
                  <a14:compatExt spid="_x0000_s362514"/>
                </a:ext>
                <a:ext uri="{FF2B5EF4-FFF2-40B4-BE49-F238E27FC236}">
                  <a16:creationId xmlns:a16="http://schemas.microsoft.com/office/drawing/2014/main" id="{00000000-0008-0000-1C00-00001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362515" name="bpmDropDownFLU637" hidden="1">
              <a:extLst>
                <a:ext uri="{63B3BB69-23CF-44E3-9099-C40C66FF867C}">
                  <a14:compatExt spid="_x0000_s362515"/>
                </a:ext>
                <a:ext uri="{FF2B5EF4-FFF2-40B4-BE49-F238E27FC236}">
                  <a16:creationId xmlns:a16="http://schemas.microsoft.com/office/drawing/2014/main" id="{00000000-0008-0000-1C00-00001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362516" name="bpmDropDownFLU638" hidden="1">
              <a:extLst>
                <a:ext uri="{63B3BB69-23CF-44E3-9099-C40C66FF867C}">
                  <a14:compatExt spid="_x0000_s362516"/>
                </a:ext>
                <a:ext uri="{FF2B5EF4-FFF2-40B4-BE49-F238E27FC236}">
                  <a16:creationId xmlns:a16="http://schemas.microsoft.com/office/drawing/2014/main" id="{00000000-0008-0000-1C00-00001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362517" name="bpmDropDownFLU639" hidden="1">
              <a:extLst>
                <a:ext uri="{63B3BB69-23CF-44E3-9099-C40C66FF867C}">
                  <a14:compatExt spid="_x0000_s362517"/>
                </a:ext>
                <a:ext uri="{FF2B5EF4-FFF2-40B4-BE49-F238E27FC236}">
                  <a16:creationId xmlns:a16="http://schemas.microsoft.com/office/drawing/2014/main" id="{00000000-0008-0000-1C00-000015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362518" name="bpmDropDownFLU640" hidden="1">
              <a:extLst>
                <a:ext uri="{63B3BB69-23CF-44E3-9099-C40C66FF867C}">
                  <a14:compatExt spid="_x0000_s362518"/>
                </a:ext>
                <a:ext uri="{FF2B5EF4-FFF2-40B4-BE49-F238E27FC236}">
                  <a16:creationId xmlns:a16="http://schemas.microsoft.com/office/drawing/2014/main" id="{00000000-0008-0000-1C00-00001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362519" name="bpmDropDownFLU641" hidden="1">
              <a:extLst>
                <a:ext uri="{63B3BB69-23CF-44E3-9099-C40C66FF867C}">
                  <a14:compatExt spid="_x0000_s362519"/>
                </a:ext>
                <a:ext uri="{FF2B5EF4-FFF2-40B4-BE49-F238E27FC236}">
                  <a16:creationId xmlns:a16="http://schemas.microsoft.com/office/drawing/2014/main" id="{00000000-0008-0000-1C00-00001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362520" name="bpmDropDownFLU642" hidden="1">
              <a:extLst>
                <a:ext uri="{63B3BB69-23CF-44E3-9099-C40C66FF867C}">
                  <a14:compatExt spid="_x0000_s362520"/>
                </a:ext>
                <a:ext uri="{FF2B5EF4-FFF2-40B4-BE49-F238E27FC236}">
                  <a16:creationId xmlns:a16="http://schemas.microsoft.com/office/drawing/2014/main" id="{00000000-0008-0000-1C00-00001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362527" name="bpmDropDownFLU649" hidden="1">
              <a:extLst>
                <a:ext uri="{63B3BB69-23CF-44E3-9099-C40C66FF867C}">
                  <a14:compatExt spid="_x0000_s362527"/>
                </a:ext>
                <a:ext uri="{FF2B5EF4-FFF2-40B4-BE49-F238E27FC236}">
                  <a16:creationId xmlns:a16="http://schemas.microsoft.com/office/drawing/2014/main" id="{00000000-0008-0000-1C00-00001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362528" name="bpmDropDownFLU650" hidden="1">
              <a:extLst>
                <a:ext uri="{63B3BB69-23CF-44E3-9099-C40C66FF867C}">
                  <a14:compatExt spid="_x0000_s362528"/>
                </a:ext>
                <a:ext uri="{FF2B5EF4-FFF2-40B4-BE49-F238E27FC236}">
                  <a16:creationId xmlns:a16="http://schemas.microsoft.com/office/drawing/2014/main" id="{00000000-0008-0000-1C00-00002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7</xdr:col>
          <xdr:colOff>0</xdr:colOff>
          <xdr:row>89</xdr:row>
          <xdr:rowOff>0</xdr:rowOff>
        </xdr:to>
        <xdr:sp macro="" textlink="">
          <xdr:nvSpPr>
            <xdr:cNvPr id="362529" name="bpmDropDownFLU651" hidden="1">
              <a:extLst>
                <a:ext uri="{63B3BB69-23CF-44E3-9099-C40C66FF867C}">
                  <a14:compatExt spid="_x0000_s362529"/>
                </a:ext>
                <a:ext uri="{FF2B5EF4-FFF2-40B4-BE49-F238E27FC236}">
                  <a16:creationId xmlns:a16="http://schemas.microsoft.com/office/drawing/2014/main" id="{00000000-0008-0000-1C00-00002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7</xdr:col>
          <xdr:colOff>0</xdr:colOff>
          <xdr:row>90</xdr:row>
          <xdr:rowOff>0</xdr:rowOff>
        </xdr:to>
        <xdr:sp macro="" textlink="">
          <xdr:nvSpPr>
            <xdr:cNvPr id="362530" name="bpmDropDownFLU652" hidden="1">
              <a:extLst>
                <a:ext uri="{63B3BB69-23CF-44E3-9099-C40C66FF867C}">
                  <a14:compatExt spid="_x0000_s362530"/>
                </a:ext>
                <a:ext uri="{FF2B5EF4-FFF2-40B4-BE49-F238E27FC236}">
                  <a16:creationId xmlns:a16="http://schemas.microsoft.com/office/drawing/2014/main" id="{00000000-0008-0000-1C00-00002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7</xdr:col>
          <xdr:colOff>0</xdr:colOff>
          <xdr:row>91</xdr:row>
          <xdr:rowOff>0</xdr:rowOff>
        </xdr:to>
        <xdr:sp macro="" textlink="">
          <xdr:nvSpPr>
            <xdr:cNvPr id="362531" name="bpmDropDownFLU653" hidden="1">
              <a:extLst>
                <a:ext uri="{63B3BB69-23CF-44E3-9099-C40C66FF867C}">
                  <a14:compatExt spid="_x0000_s362531"/>
                </a:ext>
                <a:ext uri="{FF2B5EF4-FFF2-40B4-BE49-F238E27FC236}">
                  <a16:creationId xmlns:a16="http://schemas.microsoft.com/office/drawing/2014/main" id="{00000000-0008-0000-1C00-00002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7</xdr:col>
          <xdr:colOff>0</xdr:colOff>
          <xdr:row>92</xdr:row>
          <xdr:rowOff>0</xdr:rowOff>
        </xdr:to>
        <xdr:sp macro="" textlink="">
          <xdr:nvSpPr>
            <xdr:cNvPr id="362532" name="bpmDropDownFLU654" hidden="1">
              <a:extLst>
                <a:ext uri="{63B3BB69-23CF-44E3-9099-C40C66FF867C}">
                  <a14:compatExt spid="_x0000_s362532"/>
                </a:ext>
                <a:ext uri="{FF2B5EF4-FFF2-40B4-BE49-F238E27FC236}">
                  <a16:creationId xmlns:a16="http://schemas.microsoft.com/office/drawing/2014/main" id="{00000000-0008-0000-1C00-00002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7</xdr:col>
          <xdr:colOff>0</xdr:colOff>
          <xdr:row>97</xdr:row>
          <xdr:rowOff>0</xdr:rowOff>
        </xdr:to>
        <xdr:sp macro="" textlink="">
          <xdr:nvSpPr>
            <xdr:cNvPr id="362533" name="bpmDropDownFLU655" hidden="1">
              <a:extLst>
                <a:ext uri="{63B3BB69-23CF-44E3-9099-C40C66FF867C}">
                  <a14:compatExt spid="_x0000_s362533"/>
                </a:ext>
                <a:ext uri="{FF2B5EF4-FFF2-40B4-BE49-F238E27FC236}">
                  <a16:creationId xmlns:a16="http://schemas.microsoft.com/office/drawing/2014/main" id="{00000000-0008-0000-1C00-000025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7</xdr:col>
          <xdr:colOff>0</xdr:colOff>
          <xdr:row>98</xdr:row>
          <xdr:rowOff>0</xdr:rowOff>
        </xdr:to>
        <xdr:sp macro="" textlink="">
          <xdr:nvSpPr>
            <xdr:cNvPr id="362534" name="bpmDropDownFLU656" hidden="1">
              <a:extLst>
                <a:ext uri="{63B3BB69-23CF-44E3-9099-C40C66FF867C}">
                  <a14:compatExt spid="_x0000_s362534"/>
                </a:ext>
                <a:ext uri="{FF2B5EF4-FFF2-40B4-BE49-F238E27FC236}">
                  <a16:creationId xmlns:a16="http://schemas.microsoft.com/office/drawing/2014/main" id="{00000000-0008-0000-1C00-00002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7</xdr:col>
          <xdr:colOff>0</xdr:colOff>
          <xdr:row>99</xdr:row>
          <xdr:rowOff>0</xdr:rowOff>
        </xdr:to>
        <xdr:sp macro="" textlink="">
          <xdr:nvSpPr>
            <xdr:cNvPr id="362535" name="bpmDropDownFLU657" hidden="1">
              <a:extLst>
                <a:ext uri="{63B3BB69-23CF-44E3-9099-C40C66FF867C}">
                  <a14:compatExt spid="_x0000_s362535"/>
                </a:ext>
                <a:ext uri="{FF2B5EF4-FFF2-40B4-BE49-F238E27FC236}">
                  <a16:creationId xmlns:a16="http://schemas.microsoft.com/office/drawing/2014/main" id="{00000000-0008-0000-1C00-00002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362536" name="bpmDropDownFLU658" hidden="1">
              <a:extLst>
                <a:ext uri="{63B3BB69-23CF-44E3-9099-C40C66FF867C}">
                  <a14:compatExt spid="_x0000_s362536"/>
                </a:ext>
                <a:ext uri="{FF2B5EF4-FFF2-40B4-BE49-F238E27FC236}">
                  <a16:creationId xmlns:a16="http://schemas.microsoft.com/office/drawing/2014/main" id="{00000000-0008-0000-1C00-00002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362537" name="bpmDropDownFLU659" hidden="1">
              <a:extLst>
                <a:ext uri="{63B3BB69-23CF-44E3-9099-C40C66FF867C}">
                  <a14:compatExt spid="_x0000_s362537"/>
                </a:ext>
                <a:ext uri="{FF2B5EF4-FFF2-40B4-BE49-F238E27FC236}">
                  <a16:creationId xmlns:a16="http://schemas.microsoft.com/office/drawing/2014/main" id="{00000000-0008-0000-1C00-00002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362538" name="bpmDropDownFLU660" hidden="1">
              <a:extLst>
                <a:ext uri="{63B3BB69-23CF-44E3-9099-C40C66FF867C}">
                  <a14:compatExt spid="_x0000_s362538"/>
                </a:ext>
                <a:ext uri="{FF2B5EF4-FFF2-40B4-BE49-F238E27FC236}">
                  <a16:creationId xmlns:a16="http://schemas.microsoft.com/office/drawing/2014/main" id="{00000000-0008-0000-1C00-00002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7</xdr:col>
          <xdr:colOff>0</xdr:colOff>
          <xdr:row>111</xdr:row>
          <xdr:rowOff>0</xdr:rowOff>
        </xdr:to>
        <xdr:sp macro="" textlink="">
          <xdr:nvSpPr>
            <xdr:cNvPr id="362539" name="bpmDropDownFLU661" hidden="1">
              <a:extLst>
                <a:ext uri="{63B3BB69-23CF-44E3-9099-C40C66FF867C}">
                  <a14:compatExt spid="_x0000_s362539"/>
                </a:ext>
                <a:ext uri="{FF2B5EF4-FFF2-40B4-BE49-F238E27FC236}">
                  <a16:creationId xmlns:a16="http://schemas.microsoft.com/office/drawing/2014/main" id="{00000000-0008-0000-1C00-00002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362540" name="bpmDropDownFLU662" hidden="1">
              <a:extLst>
                <a:ext uri="{63B3BB69-23CF-44E3-9099-C40C66FF867C}">
                  <a14:compatExt spid="_x0000_s362540"/>
                </a:ext>
                <a:ext uri="{FF2B5EF4-FFF2-40B4-BE49-F238E27FC236}">
                  <a16:creationId xmlns:a16="http://schemas.microsoft.com/office/drawing/2014/main" id="{00000000-0008-0000-1C00-00002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362541" name="bpmDropDownFLU663" hidden="1">
              <a:extLst>
                <a:ext uri="{63B3BB69-23CF-44E3-9099-C40C66FF867C}">
                  <a14:compatExt spid="_x0000_s362541"/>
                </a:ext>
                <a:ext uri="{FF2B5EF4-FFF2-40B4-BE49-F238E27FC236}">
                  <a16:creationId xmlns:a16="http://schemas.microsoft.com/office/drawing/2014/main" id="{00000000-0008-0000-1C00-00002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362542" name="bpmDropDownFLU664" hidden="1">
              <a:extLst>
                <a:ext uri="{63B3BB69-23CF-44E3-9099-C40C66FF867C}">
                  <a14:compatExt spid="_x0000_s362542"/>
                </a:ext>
                <a:ext uri="{FF2B5EF4-FFF2-40B4-BE49-F238E27FC236}">
                  <a16:creationId xmlns:a16="http://schemas.microsoft.com/office/drawing/2014/main" id="{00000000-0008-0000-1C00-00002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362543" name="bpmDropDownFLU665" hidden="1">
              <a:extLst>
                <a:ext uri="{63B3BB69-23CF-44E3-9099-C40C66FF867C}">
                  <a14:compatExt spid="_x0000_s362543"/>
                </a:ext>
                <a:ext uri="{FF2B5EF4-FFF2-40B4-BE49-F238E27FC236}">
                  <a16:creationId xmlns:a16="http://schemas.microsoft.com/office/drawing/2014/main" id="{00000000-0008-0000-1C00-00002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362544" name="bpmDropDownFLU666" hidden="1">
              <a:extLst>
                <a:ext uri="{63B3BB69-23CF-44E3-9099-C40C66FF867C}">
                  <a14:compatExt spid="_x0000_s362544"/>
                </a:ext>
                <a:ext uri="{FF2B5EF4-FFF2-40B4-BE49-F238E27FC236}">
                  <a16:creationId xmlns:a16="http://schemas.microsoft.com/office/drawing/2014/main" id="{00000000-0008-0000-1C00-00003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7</xdr:col>
          <xdr:colOff>0</xdr:colOff>
          <xdr:row>117</xdr:row>
          <xdr:rowOff>0</xdr:rowOff>
        </xdr:to>
        <xdr:sp macro="" textlink="">
          <xdr:nvSpPr>
            <xdr:cNvPr id="362545" name="bpmDropDownFLU667" hidden="1">
              <a:extLst>
                <a:ext uri="{63B3BB69-23CF-44E3-9099-C40C66FF867C}">
                  <a14:compatExt spid="_x0000_s362545"/>
                </a:ext>
                <a:ext uri="{FF2B5EF4-FFF2-40B4-BE49-F238E27FC236}">
                  <a16:creationId xmlns:a16="http://schemas.microsoft.com/office/drawing/2014/main" id="{00000000-0008-0000-1C00-00003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7</xdr:col>
          <xdr:colOff>0</xdr:colOff>
          <xdr:row>140</xdr:row>
          <xdr:rowOff>0</xdr:rowOff>
        </xdr:to>
        <xdr:sp macro="" textlink="">
          <xdr:nvSpPr>
            <xdr:cNvPr id="362552" name="bpmDropDownFLU801" hidden="1">
              <a:extLst>
                <a:ext uri="{63B3BB69-23CF-44E3-9099-C40C66FF867C}">
                  <a14:compatExt spid="_x0000_s362552"/>
                </a:ext>
                <a:ext uri="{FF2B5EF4-FFF2-40B4-BE49-F238E27FC236}">
                  <a16:creationId xmlns:a16="http://schemas.microsoft.com/office/drawing/2014/main" id="{00000000-0008-0000-1C00-00003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362553" name="bpmDropDownFLU802" hidden="1">
              <a:extLst>
                <a:ext uri="{63B3BB69-23CF-44E3-9099-C40C66FF867C}">
                  <a14:compatExt spid="_x0000_s362553"/>
                </a:ext>
                <a:ext uri="{FF2B5EF4-FFF2-40B4-BE49-F238E27FC236}">
                  <a16:creationId xmlns:a16="http://schemas.microsoft.com/office/drawing/2014/main" id="{00000000-0008-0000-1C00-00003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362554" name="bpmDropDownFLU803" hidden="1">
              <a:extLst>
                <a:ext uri="{63B3BB69-23CF-44E3-9099-C40C66FF867C}">
                  <a14:compatExt spid="_x0000_s362554"/>
                </a:ext>
                <a:ext uri="{FF2B5EF4-FFF2-40B4-BE49-F238E27FC236}">
                  <a16:creationId xmlns:a16="http://schemas.microsoft.com/office/drawing/2014/main" id="{00000000-0008-0000-1C00-00003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362555" name="bpmDropDownFLU804" hidden="1">
              <a:extLst>
                <a:ext uri="{63B3BB69-23CF-44E3-9099-C40C66FF867C}">
                  <a14:compatExt spid="_x0000_s362555"/>
                </a:ext>
                <a:ext uri="{FF2B5EF4-FFF2-40B4-BE49-F238E27FC236}">
                  <a16:creationId xmlns:a16="http://schemas.microsoft.com/office/drawing/2014/main" id="{00000000-0008-0000-1C00-00003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362556" name="bpmDropDownFLU805" hidden="1">
              <a:extLst>
                <a:ext uri="{63B3BB69-23CF-44E3-9099-C40C66FF867C}">
                  <a14:compatExt spid="_x0000_s362556"/>
                </a:ext>
                <a:ext uri="{FF2B5EF4-FFF2-40B4-BE49-F238E27FC236}">
                  <a16:creationId xmlns:a16="http://schemas.microsoft.com/office/drawing/2014/main" id="{00000000-0008-0000-1C00-00003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362557" name="bpmDropDownFLU806" hidden="1">
              <a:extLst>
                <a:ext uri="{63B3BB69-23CF-44E3-9099-C40C66FF867C}">
                  <a14:compatExt spid="_x0000_s362557"/>
                </a:ext>
                <a:ext uri="{FF2B5EF4-FFF2-40B4-BE49-F238E27FC236}">
                  <a16:creationId xmlns:a16="http://schemas.microsoft.com/office/drawing/2014/main" id="{00000000-0008-0000-1C00-00003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362558" name="bpmDropDownFLU807" hidden="1">
              <a:extLst>
                <a:ext uri="{63B3BB69-23CF-44E3-9099-C40C66FF867C}">
                  <a14:compatExt spid="_x0000_s362558"/>
                </a:ext>
                <a:ext uri="{FF2B5EF4-FFF2-40B4-BE49-F238E27FC236}">
                  <a16:creationId xmlns:a16="http://schemas.microsoft.com/office/drawing/2014/main" id="{00000000-0008-0000-1C00-00003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362559" name="bpmDropDownFLU808" hidden="1">
              <a:extLst>
                <a:ext uri="{63B3BB69-23CF-44E3-9099-C40C66FF867C}">
                  <a14:compatExt spid="_x0000_s362559"/>
                </a:ext>
                <a:ext uri="{FF2B5EF4-FFF2-40B4-BE49-F238E27FC236}">
                  <a16:creationId xmlns:a16="http://schemas.microsoft.com/office/drawing/2014/main" id="{00000000-0008-0000-1C00-00003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362560" name="bpmDropDownFLU809" hidden="1">
              <a:extLst>
                <a:ext uri="{63B3BB69-23CF-44E3-9099-C40C66FF867C}">
                  <a14:compatExt spid="_x0000_s362560"/>
                </a:ext>
                <a:ext uri="{FF2B5EF4-FFF2-40B4-BE49-F238E27FC236}">
                  <a16:creationId xmlns:a16="http://schemas.microsoft.com/office/drawing/2014/main" id="{00000000-0008-0000-1C00-00004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362561" name="bpmDropDownFLU810" hidden="1">
              <a:extLst>
                <a:ext uri="{63B3BB69-23CF-44E3-9099-C40C66FF867C}">
                  <a14:compatExt spid="_x0000_s362561"/>
                </a:ext>
                <a:ext uri="{FF2B5EF4-FFF2-40B4-BE49-F238E27FC236}">
                  <a16:creationId xmlns:a16="http://schemas.microsoft.com/office/drawing/2014/main" id="{00000000-0008-0000-1C00-00004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362562" name="bpmDropDownFLU811" hidden="1">
              <a:extLst>
                <a:ext uri="{63B3BB69-23CF-44E3-9099-C40C66FF867C}">
                  <a14:compatExt spid="_x0000_s362562"/>
                </a:ext>
                <a:ext uri="{FF2B5EF4-FFF2-40B4-BE49-F238E27FC236}">
                  <a16:creationId xmlns:a16="http://schemas.microsoft.com/office/drawing/2014/main" id="{00000000-0008-0000-1C00-00004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362563" name="bpmDropDownFLU812" hidden="1">
              <a:extLst>
                <a:ext uri="{63B3BB69-23CF-44E3-9099-C40C66FF867C}">
                  <a14:compatExt spid="_x0000_s362563"/>
                </a:ext>
                <a:ext uri="{FF2B5EF4-FFF2-40B4-BE49-F238E27FC236}">
                  <a16:creationId xmlns:a16="http://schemas.microsoft.com/office/drawing/2014/main" id="{00000000-0008-0000-1C00-00004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362564" name="bpmDropDownFLU813" hidden="1">
              <a:extLst>
                <a:ext uri="{63B3BB69-23CF-44E3-9099-C40C66FF867C}">
                  <a14:compatExt spid="_x0000_s362564"/>
                </a:ext>
                <a:ext uri="{FF2B5EF4-FFF2-40B4-BE49-F238E27FC236}">
                  <a16:creationId xmlns:a16="http://schemas.microsoft.com/office/drawing/2014/main" id="{00000000-0008-0000-1C00-00004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362565" name="bpmDropDownFLU814" hidden="1">
              <a:extLst>
                <a:ext uri="{63B3BB69-23CF-44E3-9099-C40C66FF867C}">
                  <a14:compatExt spid="_x0000_s362565"/>
                </a:ext>
                <a:ext uri="{FF2B5EF4-FFF2-40B4-BE49-F238E27FC236}">
                  <a16:creationId xmlns:a16="http://schemas.microsoft.com/office/drawing/2014/main" id="{00000000-0008-0000-1C00-000045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362566" name="bpmDropDownFLU815" hidden="1">
              <a:extLst>
                <a:ext uri="{63B3BB69-23CF-44E3-9099-C40C66FF867C}">
                  <a14:compatExt spid="_x0000_s362566"/>
                </a:ext>
                <a:ext uri="{FF2B5EF4-FFF2-40B4-BE49-F238E27FC236}">
                  <a16:creationId xmlns:a16="http://schemas.microsoft.com/office/drawing/2014/main" id="{00000000-0008-0000-1C00-00004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362567" name="bpmDropDownFLU816" hidden="1">
              <a:extLst>
                <a:ext uri="{63B3BB69-23CF-44E3-9099-C40C66FF867C}">
                  <a14:compatExt spid="_x0000_s362567"/>
                </a:ext>
                <a:ext uri="{FF2B5EF4-FFF2-40B4-BE49-F238E27FC236}">
                  <a16:creationId xmlns:a16="http://schemas.microsoft.com/office/drawing/2014/main" id="{00000000-0008-0000-1C00-00004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362568" name="bpmDropDownFLU817" hidden="1">
              <a:extLst>
                <a:ext uri="{63B3BB69-23CF-44E3-9099-C40C66FF867C}">
                  <a14:compatExt spid="_x0000_s362568"/>
                </a:ext>
                <a:ext uri="{FF2B5EF4-FFF2-40B4-BE49-F238E27FC236}">
                  <a16:creationId xmlns:a16="http://schemas.microsoft.com/office/drawing/2014/main" id="{00000000-0008-0000-1C00-00004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362569" name="bpmDropDownFLU818" hidden="1">
              <a:extLst>
                <a:ext uri="{63B3BB69-23CF-44E3-9099-C40C66FF867C}">
                  <a14:compatExt spid="_x0000_s362569"/>
                </a:ext>
                <a:ext uri="{FF2B5EF4-FFF2-40B4-BE49-F238E27FC236}">
                  <a16:creationId xmlns:a16="http://schemas.microsoft.com/office/drawing/2014/main" id="{00000000-0008-0000-1C00-00004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362570" name="bpmDropDownFLU819" hidden="1">
              <a:extLst>
                <a:ext uri="{63B3BB69-23CF-44E3-9099-C40C66FF867C}">
                  <a14:compatExt spid="_x0000_s362570"/>
                </a:ext>
                <a:ext uri="{FF2B5EF4-FFF2-40B4-BE49-F238E27FC236}">
                  <a16:creationId xmlns:a16="http://schemas.microsoft.com/office/drawing/2014/main" id="{00000000-0008-0000-1C00-00004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362621" name="bpmDropDownFLU26" hidden="1">
              <a:extLst>
                <a:ext uri="{63B3BB69-23CF-44E3-9099-C40C66FF867C}">
                  <a14:compatExt spid="_x0000_s362621"/>
                </a:ext>
                <a:ext uri="{FF2B5EF4-FFF2-40B4-BE49-F238E27FC236}">
                  <a16:creationId xmlns:a16="http://schemas.microsoft.com/office/drawing/2014/main" id="{00000000-0008-0000-1C00-00007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7</xdr:col>
          <xdr:colOff>0</xdr:colOff>
          <xdr:row>156</xdr:row>
          <xdr:rowOff>0</xdr:rowOff>
        </xdr:to>
        <xdr:sp macro="" textlink="">
          <xdr:nvSpPr>
            <xdr:cNvPr id="362622" name="bpmDropDownFLU360" hidden="1">
              <a:extLst>
                <a:ext uri="{63B3BB69-23CF-44E3-9099-C40C66FF867C}">
                  <a14:compatExt spid="_x0000_s362622"/>
                </a:ext>
                <a:ext uri="{FF2B5EF4-FFF2-40B4-BE49-F238E27FC236}">
                  <a16:creationId xmlns:a16="http://schemas.microsoft.com/office/drawing/2014/main" id="{00000000-0008-0000-1C00-00007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362625" name="bpmDropDownFLU390" hidden="1">
              <a:extLst>
                <a:ext uri="{63B3BB69-23CF-44E3-9099-C40C66FF867C}">
                  <a14:compatExt spid="_x0000_s362625"/>
                </a:ext>
                <a:ext uri="{FF2B5EF4-FFF2-40B4-BE49-F238E27FC236}">
                  <a16:creationId xmlns:a16="http://schemas.microsoft.com/office/drawing/2014/main" id="{00000000-0008-0000-1C00-00008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362626" name="bpmDropDownFLU391" hidden="1">
              <a:extLst>
                <a:ext uri="{63B3BB69-23CF-44E3-9099-C40C66FF867C}">
                  <a14:compatExt spid="_x0000_s362626"/>
                </a:ext>
                <a:ext uri="{FF2B5EF4-FFF2-40B4-BE49-F238E27FC236}">
                  <a16:creationId xmlns:a16="http://schemas.microsoft.com/office/drawing/2014/main" id="{00000000-0008-0000-1C00-00008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362627" name="bpmDropDownFLU392" hidden="1">
              <a:extLst>
                <a:ext uri="{63B3BB69-23CF-44E3-9099-C40C66FF867C}">
                  <a14:compatExt spid="_x0000_s362627"/>
                </a:ext>
                <a:ext uri="{FF2B5EF4-FFF2-40B4-BE49-F238E27FC236}">
                  <a16:creationId xmlns:a16="http://schemas.microsoft.com/office/drawing/2014/main" id="{00000000-0008-0000-1C00-00008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7</xdr:col>
          <xdr:colOff>0</xdr:colOff>
          <xdr:row>157</xdr:row>
          <xdr:rowOff>0</xdr:rowOff>
        </xdr:to>
        <xdr:sp macro="" textlink="">
          <xdr:nvSpPr>
            <xdr:cNvPr id="362628" name="bpmDropDownFLU503" hidden="1">
              <a:extLst>
                <a:ext uri="{63B3BB69-23CF-44E3-9099-C40C66FF867C}">
                  <a14:compatExt spid="_x0000_s362628"/>
                </a:ext>
                <a:ext uri="{FF2B5EF4-FFF2-40B4-BE49-F238E27FC236}">
                  <a16:creationId xmlns:a16="http://schemas.microsoft.com/office/drawing/2014/main" id="{00000000-0008-0000-1C00-00008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7</xdr:col>
          <xdr:colOff>0</xdr:colOff>
          <xdr:row>158</xdr:row>
          <xdr:rowOff>0</xdr:rowOff>
        </xdr:to>
        <xdr:sp macro="" textlink="">
          <xdr:nvSpPr>
            <xdr:cNvPr id="362629" name="bpmDropDownFLU517" hidden="1">
              <a:extLst>
                <a:ext uri="{63B3BB69-23CF-44E3-9099-C40C66FF867C}">
                  <a14:compatExt spid="_x0000_s362629"/>
                </a:ext>
                <a:ext uri="{FF2B5EF4-FFF2-40B4-BE49-F238E27FC236}">
                  <a16:creationId xmlns:a16="http://schemas.microsoft.com/office/drawing/2014/main" id="{00000000-0008-0000-1C00-000085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362630" name="bpmDropDownFLU519" hidden="1">
              <a:extLst>
                <a:ext uri="{63B3BB69-23CF-44E3-9099-C40C66FF867C}">
                  <a14:compatExt spid="_x0000_s362630"/>
                </a:ext>
                <a:ext uri="{FF2B5EF4-FFF2-40B4-BE49-F238E27FC236}">
                  <a16:creationId xmlns:a16="http://schemas.microsoft.com/office/drawing/2014/main" id="{00000000-0008-0000-1C00-00008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362647" name="bpmDropDownFLU1213" hidden="1">
              <a:extLst>
                <a:ext uri="{63B3BB69-23CF-44E3-9099-C40C66FF867C}">
                  <a14:compatExt spid="_x0000_s362647"/>
                </a:ext>
                <a:ext uri="{FF2B5EF4-FFF2-40B4-BE49-F238E27FC236}">
                  <a16:creationId xmlns:a16="http://schemas.microsoft.com/office/drawing/2014/main" id="{00000000-0008-0000-1C00-00009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362648" name="bpmDropDownFLU1214" hidden="1">
              <a:extLst>
                <a:ext uri="{63B3BB69-23CF-44E3-9099-C40C66FF867C}">
                  <a14:compatExt spid="_x0000_s362648"/>
                </a:ext>
                <a:ext uri="{FF2B5EF4-FFF2-40B4-BE49-F238E27FC236}">
                  <a16:creationId xmlns:a16="http://schemas.microsoft.com/office/drawing/2014/main" id="{00000000-0008-0000-1C00-00009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362649" name="bpmDropDownFLU1215" hidden="1">
              <a:extLst>
                <a:ext uri="{63B3BB69-23CF-44E3-9099-C40C66FF867C}">
                  <a14:compatExt spid="_x0000_s362649"/>
                </a:ext>
                <a:ext uri="{FF2B5EF4-FFF2-40B4-BE49-F238E27FC236}">
                  <a16:creationId xmlns:a16="http://schemas.microsoft.com/office/drawing/2014/main" id="{00000000-0008-0000-1C00-00009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7</xdr:col>
          <xdr:colOff>0</xdr:colOff>
          <xdr:row>51</xdr:row>
          <xdr:rowOff>0</xdr:rowOff>
        </xdr:to>
        <xdr:sp macro="" textlink="">
          <xdr:nvSpPr>
            <xdr:cNvPr id="362650" name="bpmDropDownFLU1216" hidden="1">
              <a:extLst>
                <a:ext uri="{63B3BB69-23CF-44E3-9099-C40C66FF867C}">
                  <a14:compatExt spid="_x0000_s362650"/>
                </a:ext>
                <a:ext uri="{FF2B5EF4-FFF2-40B4-BE49-F238E27FC236}">
                  <a16:creationId xmlns:a16="http://schemas.microsoft.com/office/drawing/2014/main" id="{00000000-0008-0000-1C00-00009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7</xdr:col>
          <xdr:colOff>0</xdr:colOff>
          <xdr:row>52</xdr:row>
          <xdr:rowOff>0</xdr:rowOff>
        </xdr:to>
        <xdr:sp macro="" textlink="">
          <xdr:nvSpPr>
            <xdr:cNvPr id="362651" name="bpmDropDownFLU1217" hidden="1">
              <a:extLst>
                <a:ext uri="{63B3BB69-23CF-44E3-9099-C40C66FF867C}">
                  <a14:compatExt spid="_x0000_s362651"/>
                </a:ext>
                <a:ext uri="{FF2B5EF4-FFF2-40B4-BE49-F238E27FC236}">
                  <a16:creationId xmlns:a16="http://schemas.microsoft.com/office/drawing/2014/main" id="{00000000-0008-0000-1C00-00009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362653" name="bpmDropDownFLU173" hidden="1">
              <a:extLst>
                <a:ext uri="{63B3BB69-23CF-44E3-9099-C40C66FF867C}">
                  <a14:compatExt spid="_x0000_s362653"/>
                </a:ext>
                <a:ext uri="{FF2B5EF4-FFF2-40B4-BE49-F238E27FC236}">
                  <a16:creationId xmlns:a16="http://schemas.microsoft.com/office/drawing/2014/main" id="{00000000-0008-0000-1C00-00009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362654" name="bpmDropDownFLU174" hidden="1">
              <a:extLst>
                <a:ext uri="{63B3BB69-23CF-44E3-9099-C40C66FF867C}">
                  <a14:compatExt spid="_x0000_s362654"/>
                </a:ext>
                <a:ext uri="{FF2B5EF4-FFF2-40B4-BE49-F238E27FC236}">
                  <a16:creationId xmlns:a16="http://schemas.microsoft.com/office/drawing/2014/main" id="{00000000-0008-0000-1C00-00009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362655" name="bpmDropDownFLU175" hidden="1">
              <a:extLst>
                <a:ext uri="{63B3BB69-23CF-44E3-9099-C40C66FF867C}">
                  <a14:compatExt spid="_x0000_s362655"/>
                </a:ext>
                <a:ext uri="{FF2B5EF4-FFF2-40B4-BE49-F238E27FC236}">
                  <a16:creationId xmlns:a16="http://schemas.microsoft.com/office/drawing/2014/main" id="{00000000-0008-0000-1C00-00009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362656" name="bpmDropDownFLU179" hidden="1">
              <a:extLst>
                <a:ext uri="{63B3BB69-23CF-44E3-9099-C40C66FF867C}">
                  <a14:compatExt spid="_x0000_s362656"/>
                </a:ext>
                <a:ext uri="{FF2B5EF4-FFF2-40B4-BE49-F238E27FC236}">
                  <a16:creationId xmlns:a16="http://schemas.microsoft.com/office/drawing/2014/main" id="{00000000-0008-0000-1C00-0000A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362657" name="bpmDropDownFLU180" hidden="1">
              <a:extLst>
                <a:ext uri="{63B3BB69-23CF-44E3-9099-C40C66FF867C}">
                  <a14:compatExt spid="_x0000_s362657"/>
                </a:ext>
                <a:ext uri="{FF2B5EF4-FFF2-40B4-BE49-F238E27FC236}">
                  <a16:creationId xmlns:a16="http://schemas.microsoft.com/office/drawing/2014/main" id="{00000000-0008-0000-1C00-0000A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362658" name="bpmDropDownFLU181" hidden="1">
              <a:extLst>
                <a:ext uri="{63B3BB69-23CF-44E3-9099-C40C66FF867C}">
                  <a14:compatExt spid="_x0000_s362658"/>
                </a:ext>
                <a:ext uri="{FF2B5EF4-FFF2-40B4-BE49-F238E27FC236}">
                  <a16:creationId xmlns:a16="http://schemas.microsoft.com/office/drawing/2014/main" id="{00000000-0008-0000-1C00-0000A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362659" name="bpmDropDownFLU182" hidden="1">
              <a:extLst>
                <a:ext uri="{63B3BB69-23CF-44E3-9099-C40C66FF867C}">
                  <a14:compatExt spid="_x0000_s362659"/>
                </a:ext>
                <a:ext uri="{FF2B5EF4-FFF2-40B4-BE49-F238E27FC236}">
                  <a16:creationId xmlns:a16="http://schemas.microsoft.com/office/drawing/2014/main" id="{00000000-0008-0000-1C00-0000A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362660" name="bpmDropDownFLU202" hidden="1">
              <a:extLst>
                <a:ext uri="{63B3BB69-23CF-44E3-9099-C40C66FF867C}">
                  <a14:compatExt spid="_x0000_s362660"/>
                </a:ext>
                <a:ext uri="{FF2B5EF4-FFF2-40B4-BE49-F238E27FC236}">
                  <a16:creationId xmlns:a16="http://schemas.microsoft.com/office/drawing/2014/main" id="{00000000-0008-0000-1C00-0000A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362662" name="bpmDropDownFLU204" hidden="1">
              <a:extLst>
                <a:ext uri="{63B3BB69-23CF-44E3-9099-C40C66FF867C}">
                  <a14:compatExt spid="_x0000_s362662"/>
                </a:ext>
                <a:ext uri="{FF2B5EF4-FFF2-40B4-BE49-F238E27FC236}">
                  <a16:creationId xmlns:a16="http://schemas.microsoft.com/office/drawing/2014/main" id="{00000000-0008-0000-1C00-0000A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362663" name="bpmDropDownFLU205" hidden="1">
              <a:extLst>
                <a:ext uri="{63B3BB69-23CF-44E3-9099-C40C66FF867C}">
                  <a14:compatExt spid="_x0000_s362663"/>
                </a:ext>
                <a:ext uri="{FF2B5EF4-FFF2-40B4-BE49-F238E27FC236}">
                  <a16:creationId xmlns:a16="http://schemas.microsoft.com/office/drawing/2014/main" id="{00000000-0008-0000-1C00-0000A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362664" name="bpmDropDownFLU206" hidden="1">
              <a:extLst>
                <a:ext uri="{63B3BB69-23CF-44E3-9099-C40C66FF867C}">
                  <a14:compatExt spid="_x0000_s362664"/>
                </a:ext>
                <a:ext uri="{FF2B5EF4-FFF2-40B4-BE49-F238E27FC236}">
                  <a16:creationId xmlns:a16="http://schemas.microsoft.com/office/drawing/2014/main" id="{00000000-0008-0000-1C00-0000A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362665" name="bpmDropDownFLU207" hidden="1">
              <a:extLst>
                <a:ext uri="{63B3BB69-23CF-44E3-9099-C40C66FF867C}">
                  <a14:compatExt spid="_x0000_s362665"/>
                </a:ext>
                <a:ext uri="{FF2B5EF4-FFF2-40B4-BE49-F238E27FC236}">
                  <a16:creationId xmlns:a16="http://schemas.microsoft.com/office/drawing/2014/main" id="{00000000-0008-0000-1C00-0000A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362666" name="bpmDropDownFLU349" hidden="1">
              <a:extLst>
                <a:ext uri="{63B3BB69-23CF-44E3-9099-C40C66FF867C}">
                  <a14:compatExt spid="_x0000_s362666"/>
                </a:ext>
                <a:ext uri="{FF2B5EF4-FFF2-40B4-BE49-F238E27FC236}">
                  <a16:creationId xmlns:a16="http://schemas.microsoft.com/office/drawing/2014/main" id="{00000000-0008-0000-1C00-0000A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362667" name="bpmDropDownFLU350" hidden="1">
              <a:extLst>
                <a:ext uri="{63B3BB69-23CF-44E3-9099-C40C66FF867C}">
                  <a14:compatExt spid="_x0000_s362667"/>
                </a:ext>
                <a:ext uri="{FF2B5EF4-FFF2-40B4-BE49-F238E27FC236}">
                  <a16:creationId xmlns:a16="http://schemas.microsoft.com/office/drawing/2014/main" id="{00000000-0008-0000-1C00-0000A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362668" name="bpmDropDownFLU351" hidden="1">
              <a:extLst>
                <a:ext uri="{63B3BB69-23CF-44E3-9099-C40C66FF867C}">
                  <a14:compatExt spid="_x0000_s362668"/>
                </a:ext>
                <a:ext uri="{FF2B5EF4-FFF2-40B4-BE49-F238E27FC236}">
                  <a16:creationId xmlns:a16="http://schemas.microsoft.com/office/drawing/2014/main" id="{00000000-0008-0000-1C00-0000A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7</xdr:col>
          <xdr:colOff>0</xdr:colOff>
          <xdr:row>15</xdr:row>
          <xdr:rowOff>0</xdr:rowOff>
        </xdr:to>
        <xdr:sp macro="" textlink="">
          <xdr:nvSpPr>
            <xdr:cNvPr id="362669" name="bpmDropDownFLU352" hidden="1">
              <a:extLst>
                <a:ext uri="{63B3BB69-23CF-44E3-9099-C40C66FF867C}">
                  <a14:compatExt spid="_x0000_s362669"/>
                </a:ext>
                <a:ext uri="{FF2B5EF4-FFF2-40B4-BE49-F238E27FC236}">
                  <a16:creationId xmlns:a16="http://schemas.microsoft.com/office/drawing/2014/main" id="{00000000-0008-0000-1C00-0000A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362670" name="bpmDropDownFLU353" hidden="1">
              <a:extLst>
                <a:ext uri="{63B3BB69-23CF-44E3-9099-C40C66FF867C}">
                  <a14:compatExt spid="_x0000_s362670"/>
                </a:ext>
                <a:ext uri="{FF2B5EF4-FFF2-40B4-BE49-F238E27FC236}">
                  <a16:creationId xmlns:a16="http://schemas.microsoft.com/office/drawing/2014/main" id="{00000000-0008-0000-1C00-0000A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362671" name="bpmDropDownFLU354" hidden="1">
              <a:extLst>
                <a:ext uri="{63B3BB69-23CF-44E3-9099-C40C66FF867C}">
                  <a14:compatExt spid="_x0000_s362671"/>
                </a:ext>
                <a:ext uri="{FF2B5EF4-FFF2-40B4-BE49-F238E27FC236}">
                  <a16:creationId xmlns:a16="http://schemas.microsoft.com/office/drawing/2014/main" id="{00000000-0008-0000-1C00-0000A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362672" name="bpmDropDownFLU355" hidden="1">
              <a:extLst>
                <a:ext uri="{63B3BB69-23CF-44E3-9099-C40C66FF867C}">
                  <a14:compatExt spid="_x0000_s362672"/>
                </a:ext>
                <a:ext uri="{FF2B5EF4-FFF2-40B4-BE49-F238E27FC236}">
                  <a16:creationId xmlns:a16="http://schemas.microsoft.com/office/drawing/2014/main" id="{00000000-0008-0000-1C00-0000B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362673" name="bpmDropDownFLU356" hidden="1">
              <a:extLst>
                <a:ext uri="{63B3BB69-23CF-44E3-9099-C40C66FF867C}">
                  <a14:compatExt spid="_x0000_s362673"/>
                </a:ext>
                <a:ext uri="{FF2B5EF4-FFF2-40B4-BE49-F238E27FC236}">
                  <a16:creationId xmlns:a16="http://schemas.microsoft.com/office/drawing/2014/main" id="{00000000-0008-0000-1C00-0000B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362674" name="bpmDropDownFLU357" hidden="1">
              <a:extLst>
                <a:ext uri="{63B3BB69-23CF-44E3-9099-C40C66FF867C}">
                  <a14:compatExt spid="_x0000_s362674"/>
                </a:ext>
                <a:ext uri="{FF2B5EF4-FFF2-40B4-BE49-F238E27FC236}">
                  <a16:creationId xmlns:a16="http://schemas.microsoft.com/office/drawing/2014/main" id="{00000000-0008-0000-1C00-0000B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362675" name="bpmDropDownFLU358" hidden="1">
              <a:extLst>
                <a:ext uri="{63B3BB69-23CF-44E3-9099-C40C66FF867C}">
                  <a14:compatExt spid="_x0000_s362675"/>
                </a:ext>
                <a:ext uri="{FF2B5EF4-FFF2-40B4-BE49-F238E27FC236}">
                  <a16:creationId xmlns:a16="http://schemas.microsoft.com/office/drawing/2014/main" id="{00000000-0008-0000-1C00-0000B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362676" name="bpmDropDownFLU359" hidden="1">
              <a:extLst>
                <a:ext uri="{63B3BB69-23CF-44E3-9099-C40C66FF867C}">
                  <a14:compatExt spid="_x0000_s362676"/>
                </a:ext>
                <a:ext uri="{FF2B5EF4-FFF2-40B4-BE49-F238E27FC236}">
                  <a16:creationId xmlns:a16="http://schemas.microsoft.com/office/drawing/2014/main" id="{00000000-0008-0000-1C00-0000B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362678" name="bpmDropDownFLU393" hidden="1">
              <a:extLst>
                <a:ext uri="{63B3BB69-23CF-44E3-9099-C40C66FF867C}">
                  <a14:compatExt spid="_x0000_s362678"/>
                </a:ext>
                <a:ext uri="{FF2B5EF4-FFF2-40B4-BE49-F238E27FC236}">
                  <a16:creationId xmlns:a16="http://schemas.microsoft.com/office/drawing/2014/main" id="{00000000-0008-0000-1C00-0000B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362679" name="bpmDropDownFLU394" hidden="1">
              <a:extLst>
                <a:ext uri="{63B3BB69-23CF-44E3-9099-C40C66FF867C}">
                  <a14:compatExt spid="_x0000_s362679"/>
                </a:ext>
                <a:ext uri="{FF2B5EF4-FFF2-40B4-BE49-F238E27FC236}">
                  <a16:creationId xmlns:a16="http://schemas.microsoft.com/office/drawing/2014/main" id="{00000000-0008-0000-1C00-0000B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362680" name="bpmDropDownFLU395" hidden="1">
              <a:extLst>
                <a:ext uri="{63B3BB69-23CF-44E3-9099-C40C66FF867C}">
                  <a14:compatExt spid="_x0000_s362680"/>
                </a:ext>
                <a:ext uri="{FF2B5EF4-FFF2-40B4-BE49-F238E27FC236}">
                  <a16:creationId xmlns:a16="http://schemas.microsoft.com/office/drawing/2014/main" id="{00000000-0008-0000-1C00-0000B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362681" name="bpmDropDownFLU396" hidden="1">
              <a:extLst>
                <a:ext uri="{63B3BB69-23CF-44E3-9099-C40C66FF867C}">
                  <a14:compatExt spid="_x0000_s362681"/>
                </a:ext>
                <a:ext uri="{FF2B5EF4-FFF2-40B4-BE49-F238E27FC236}">
                  <a16:creationId xmlns:a16="http://schemas.microsoft.com/office/drawing/2014/main" id="{00000000-0008-0000-1C00-0000B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362682" name="bpmDropDownFLU416" hidden="1">
              <a:extLst>
                <a:ext uri="{63B3BB69-23CF-44E3-9099-C40C66FF867C}">
                  <a14:compatExt spid="_x0000_s362682"/>
                </a:ext>
                <a:ext uri="{FF2B5EF4-FFF2-40B4-BE49-F238E27FC236}">
                  <a16:creationId xmlns:a16="http://schemas.microsoft.com/office/drawing/2014/main" id="{00000000-0008-0000-1C00-0000B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362683" name="bpmDropDownFLU423" hidden="1">
              <a:extLst>
                <a:ext uri="{63B3BB69-23CF-44E3-9099-C40C66FF867C}">
                  <a14:compatExt spid="_x0000_s362683"/>
                </a:ext>
                <a:ext uri="{FF2B5EF4-FFF2-40B4-BE49-F238E27FC236}">
                  <a16:creationId xmlns:a16="http://schemas.microsoft.com/office/drawing/2014/main" id="{00000000-0008-0000-1C00-0000B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362684" name="bpmDropDownFLU487" hidden="1">
              <a:extLst>
                <a:ext uri="{63B3BB69-23CF-44E3-9099-C40C66FF867C}">
                  <a14:compatExt spid="_x0000_s362684"/>
                </a:ext>
                <a:ext uri="{FF2B5EF4-FFF2-40B4-BE49-F238E27FC236}">
                  <a16:creationId xmlns:a16="http://schemas.microsoft.com/office/drawing/2014/main" id="{00000000-0008-0000-1C00-0000B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362685" name="bpmDropDownFLU504" hidden="1">
              <a:extLst>
                <a:ext uri="{63B3BB69-23CF-44E3-9099-C40C66FF867C}">
                  <a14:compatExt spid="_x0000_s362685"/>
                </a:ext>
                <a:ext uri="{FF2B5EF4-FFF2-40B4-BE49-F238E27FC236}">
                  <a16:creationId xmlns:a16="http://schemas.microsoft.com/office/drawing/2014/main" id="{00000000-0008-0000-1C00-0000B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0</xdr:rowOff>
        </xdr:from>
        <xdr:to>
          <xdr:col>9</xdr:col>
          <xdr:colOff>0</xdr:colOff>
          <xdr:row>78</xdr:row>
          <xdr:rowOff>0</xdr:rowOff>
        </xdr:to>
        <xdr:sp macro="" textlink="">
          <xdr:nvSpPr>
            <xdr:cNvPr id="362686" name="bpmDropDownFLU506" hidden="1">
              <a:extLst>
                <a:ext uri="{63B3BB69-23CF-44E3-9099-C40C66FF867C}">
                  <a14:compatExt spid="_x0000_s362686"/>
                </a:ext>
                <a:ext uri="{FF2B5EF4-FFF2-40B4-BE49-F238E27FC236}">
                  <a16:creationId xmlns:a16="http://schemas.microsoft.com/office/drawing/2014/main" id="{00000000-0008-0000-1C00-0000B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79</xdr:row>
          <xdr:rowOff>0</xdr:rowOff>
        </xdr:to>
        <xdr:sp macro="" textlink="">
          <xdr:nvSpPr>
            <xdr:cNvPr id="362687" name="bpmDropDownFLU507" hidden="1">
              <a:extLst>
                <a:ext uri="{63B3BB69-23CF-44E3-9099-C40C66FF867C}">
                  <a14:compatExt spid="_x0000_s362687"/>
                </a:ext>
                <a:ext uri="{FF2B5EF4-FFF2-40B4-BE49-F238E27FC236}">
                  <a16:creationId xmlns:a16="http://schemas.microsoft.com/office/drawing/2014/main" id="{00000000-0008-0000-1C00-0000B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0</xdr:colOff>
          <xdr:row>80</xdr:row>
          <xdr:rowOff>0</xdr:rowOff>
        </xdr:to>
        <xdr:sp macro="" textlink="">
          <xdr:nvSpPr>
            <xdr:cNvPr id="362688" name="bpmDropDownFLU508" hidden="1">
              <a:extLst>
                <a:ext uri="{63B3BB69-23CF-44E3-9099-C40C66FF867C}">
                  <a14:compatExt spid="_x0000_s362688"/>
                </a:ext>
                <a:ext uri="{FF2B5EF4-FFF2-40B4-BE49-F238E27FC236}">
                  <a16:creationId xmlns:a16="http://schemas.microsoft.com/office/drawing/2014/main" id="{00000000-0008-0000-1C00-0000C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362689" name="bpmDropDownFLU509" hidden="1">
              <a:extLst>
                <a:ext uri="{63B3BB69-23CF-44E3-9099-C40C66FF867C}">
                  <a14:compatExt spid="_x0000_s362689"/>
                </a:ext>
                <a:ext uri="{FF2B5EF4-FFF2-40B4-BE49-F238E27FC236}">
                  <a16:creationId xmlns:a16="http://schemas.microsoft.com/office/drawing/2014/main" id="{00000000-0008-0000-1C00-0000C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0</xdr:colOff>
          <xdr:row>82</xdr:row>
          <xdr:rowOff>0</xdr:rowOff>
        </xdr:to>
        <xdr:sp macro="" textlink="">
          <xdr:nvSpPr>
            <xdr:cNvPr id="362690" name="bpmDropDownFLU510" hidden="1">
              <a:extLst>
                <a:ext uri="{63B3BB69-23CF-44E3-9099-C40C66FF867C}">
                  <a14:compatExt spid="_x0000_s362690"/>
                </a:ext>
                <a:ext uri="{FF2B5EF4-FFF2-40B4-BE49-F238E27FC236}">
                  <a16:creationId xmlns:a16="http://schemas.microsoft.com/office/drawing/2014/main" id="{00000000-0008-0000-1C00-0000C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362691" name="bpmDropDownFLU511" hidden="1">
              <a:extLst>
                <a:ext uri="{63B3BB69-23CF-44E3-9099-C40C66FF867C}">
                  <a14:compatExt spid="_x0000_s362691"/>
                </a:ext>
                <a:ext uri="{FF2B5EF4-FFF2-40B4-BE49-F238E27FC236}">
                  <a16:creationId xmlns:a16="http://schemas.microsoft.com/office/drawing/2014/main" id="{00000000-0008-0000-1C00-0000C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362692" name="bpmDropDownFLU512" hidden="1">
              <a:extLst>
                <a:ext uri="{63B3BB69-23CF-44E3-9099-C40C66FF867C}">
                  <a14:compatExt spid="_x0000_s362692"/>
                </a:ext>
                <a:ext uri="{FF2B5EF4-FFF2-40B4-BE49-F238E27FC236}">
                  <a16:creationId xmlns:a16="http://schemas.microsoft.com/office/drawing/2014/main" id="{00000000-0008-0000-1C00-0000C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362693" name="bpmDropDownFLU513" hidden="1">
              <a:extLst>
                <a:ext uri="{63B3BB69-23CF-44E3-9099-C40C66FF867C}">
                  <a14:compatExt spid="_x0000_s362693"/>
                </a:ext>
                <a:ext uri="{FF2B5EF4-FFF2-40B4-BE49-F238E27FC236}">
                  <a16:creationId xmlns:a16="http://schemas.microsoft.com/office/drawing/2014/main" id="{00000000-0008-0000-1C00-0000C5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362694" name="bpmDropDownFLU514" hidden="1">
              <a:extLst>
                <a:ext uri="{63B3BB69-23CF-44E3-9099-C40C66FF867C}">
                  <a14:compatExt spid="_x0000_s362694"/>
                </a:ext>
                <a:ext uri="{FF2B5EF4-FFF2-40B4-BE49-F238E27FC236}">
                  <a16:creationId xmlns:a16="http://schemas.microsoft.com/office/drawing/2014/main" id="{00000000-0008-0000-1C00-0000C6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362695" name="bpmDropDownFLU515" hidden="1">
              <a:extLst>
                <a:ext uri="{63B3BB69-23CF-44E3-9099-C40C66FF867C}">
                  <a14:compatExt spid="_x0000_s362695"/>
                </a:ext>
                <a:ext uri="{FF2B5EF4-FFF2-40B4-BE49-F238E27FC236}">
                  <a16:creationId xmlns:a16="http://schemas.microsoft.com/office/drawing/2014/main" id="{00000000-0008-0000-1C00-0000C7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362696" name="bpmDropDownFLU516" hidden="1">
              <a:extLst>
                <a:ext uri="{63B3BB69-23CF-44E3-9099-C40C66FF867C}">
                  <a14:compatExt spid="_x0000_s362696"/>
                </a:ext>
                <a:ext uri="{FF2B5EF4-FFF2-40B4-BE49-F238E27FC236}">
                  <a16:creationId xmlns:a16="http://schemas.microsoft.com/office/drawing/2014/main" id="{00000000-0008-0000-1C00-0000C8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362697" name="bpmDropDownFLU518" hidden="1">
              <a:extLst>
                <a:ext uri="{63B3BB69-23CF-44E3-9099-C40C66FF867C}">
                  <a14:compatExt spid="_x0000_s362697"/>
                </a:ext>
                <a:ext uri="{FF2B5EF4-FFF2-40B4-BE49-F238E27FC236}">
                  <a16:creationId xmlns:a16="http://schemas.microsoft.com/office/drawing/2014/main" id="{00000000-0008-0000-1C00-0000C9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362698" name="bpmDropDownFLU527" hidden="1">
              <a:extLst>
                <a:ext uri="{63B3BB69-23CF-44E3-9099-C40C66FF867C}">
                  <a14:compatExt spid="_x0000_s362698"/>
                </a:ext>
                <a:ext uri="{FF2B5EF4-FFF2-40B4-BE49-F238E27FC236}">
                  <a16:creationId xmlns:a16="http://schemas.microsoft.com/office/drawing/2014/main" id="{00000000-0008-0000-1C00-0000CA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362699" name="bpmDropDownFLU528" hidden="1">
              <a:extLst>
                <a:ext uri="{63B3BB69-23CF-44E3-9099-C40C66FF867C}">
                  <a14:compatExt spid="_x0000_s362699"/>
                </a:ext>
                <a:ext uri="{FF2B5EF4-FFF2-40B4-BE49-F238E27FC236}">
                  <a16:creationId xmlns:a16="http://schemas.microsoft.com/office/drawing/2014/main" id="{00000000-0008-0000-1C00-0000CB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362700" name="bpmDropDownFLU529" hidden="1">
              <a:extLst>
                <a:ext uri="{63B3BB69-23CF-44E3-9099-C40C66FF867C}">
                  <a14:compatExt spid="_x0000_s362700"/>
                </a:ext>
                <a:ext uri="{FF2B5EF4-FFF2-40B4-BE49-F238E27FC236}">
                  <a16:creationId xmlns:a16="http://schemas.microsoft.com/office/drawing/2014/main" id="{00000000-0008-0000-1C00-0000CC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362701" name="bpmDropDownFLU530" hidden="1">
              <a:extLst>
                <a:ext uri="{63B3BB69-23CF-44E3-9099-C40C66FF867C}">
                  <a14:compatExt spid="_x0000_s362701"/>
                </a:ext>
                <a:ext uri="{FF2B5EF4-FFF2-40B4-BE49-F238E27FC236}">
                  <a16:creationId xmlns:a16="http://schemas.microsoft.com/office/drawing/2014/main" id="{00000000-0008-0000-1C00-0000CD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362702" name="bpmDropDownFLU531" hidden="1">
              <a:extLst>
                <a:ext uri="{63B3BB69-23CF-44E3-9099-C40C66FF867C}">
                  <a14:compatExt spid="_x0000_s362702"/>
                </a:ext>
                <a:ext uri="{FF2B5EF4-FFF2-40B4-BE49-F238E27FC236}">
                  <a16:creationId xmlns:a16="http://schemas.microsoft.com/office/drawing/2014/main" id="{00000000-0008-0000-1C00-0000CE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0</xdr:rowOff>
        </xdr:from>
        <xdr:to>
          <xdr:col>9</xdr:col>
          <xdr:colOff>0</xdr:colOff>
          <xdr:row>130</xdr:row>
          <xdr:rowOff>0</xdr:rowOff>
        </xdr:to>
        <xdr:sp macro="" textlink="">
          <xdr:nvSpPr>
            <xdr:cNvPr id="362703" name="bpmDropDownFLU532" hidden="1">
              <a:extLst>
                <a:ext uri="{63B3BB69-23CF-44E3-9099-C40C66FF867C}">
                  <a14:compatExt spid="_x0000_s362703"/>
                </a:ext>
                <a:ext uri="{FF2B5EF4-FFF2-40B4-BE49-F238E27FC236}">
                  <a16:creationId xmlns:a16="http://schemas.microsoft.com/office/drawing/2014/main" id="{00000000-0008-0000-1C00-0000CF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0</xdr:rowOff>
        </xdr:from>
        <xdr:to>
          <xdr:col>9</xdr:col>
          <xdr:colOff>0</xdr:colOff>
          <xdr:row>131</xdr:row>
          <xdr:rowOff>0</xdr:rowOff>
        </xdr:to>
        <xdr:sp macro="" textlink="">
          <xdr:nvSpPr>
            <xdr:cNvPr id="362704" name="bpmDropDownFLU533" hidden="1">
              <a:extLst>
                <a:ext uri="{63B3BB69-23CF-44E3-9099-C40C66FF867C}">
                  <a14:compatExt spid="_x0000_s362704"/>
                </a:ext>
                <a:ext uri="{FF2B5EF4-FFF2-40B4-BE49-F238E27FC236}">
                  <a16:creationId xmlns:a16="http://schemas.microsoft.com/office/drawing/2014/main" id="{00000000-0008-0000-1C00-0000D0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0</xdr:rowOff>
        </xdr:from>
        <xdr:to>
          <xdr:col>9</xdr:col>
          <xdr:colOff>0</xdr:colOff>
          <xdr:row>132</xdr:row>
          <xdr:rowOff>0</xdr:rowOff>
        </xdr:to>
        <xdr:sp macro="" textlink="">
          <xdr:nvSpPr>
            <xdr:cNvPr id="362705" name="bpmDropDownFLU534" hidden="1">
              <a:extLst>
                <a:ext uri="{63B3BB69-23CF-44E3-9099-C40C66FF867C}">
                  <a14:compatExt spid="_x0000_s362705"/>
                </a:ext>
                <a:ext uri="{FF2B5EF4-FFF2-40B4-BE49-F238E27FC236}">
                  <a16:creationId xmlns:a16="http://schemas.microsoft.com/office/drawing/2014/main" id="{00000000-0008-0000-1C00-0000D1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132</xdr:row>
          <xdr:rowOff>0</xdr:rowOff>
        </xdr:from>
        <xdr:to>
          <xdr:col>9</xdr:col>
          <xdr:colOff>0</xdr:colOff>
          <xdr:row>133</xdr:row>
          <xdr:rowOff>0</xdr:rowOff>
        </xdr:to>
        <xdr:sp macro="" textlink="">
          <xdr:nvSpPr>
            <xdr:cNvPr id="362706" name="bpmDropDownFLU535" hidden="1">
              <a:extLst>
                <a:ext uri="{63B3BB69-23CF-44E3-9099-C40C66FF867C}">
                  <a14:compatExt spid="_x0000_s362706"/>
                </a:ext>
                <a:ext uri="{FF2B5EF4-FFF2-40B4-BE49-F238E27FC236}">
                  <a16:creationId xmlns:a16="http://schemas.microsoft.com/office/drawing/2014/main" id="{00000000-0008-0000-1C00-0000D2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133</xdr:row>
          <xdr:rowOff>0</xdr:rowOff>
        </xdr:from>
        <xdr:to>
          <xdr:col>9</xdr:col>
          <xdr:colOff>0</xdr:colOff>
          <xdr:row>134</xdr:row>
          <xdr:rowOff>0</xdr:rowOff>
        </xdr:to>
        <xdr:sp macro="" textlink="">
          <xdr:nvSpPr>
            <xdr:cNvPr id="362707" name="bpmDropDownFLU536" hidden="1">
              <a:extLst>
                <a:ext uri="{63B3BB69-23CF-44E3-9099-C40C66FF867C}">
                  <a14:compatExt spid="_x0000_s362707"/>
                </a:ext>
                <a:ext uri="{FF2B5EF4-FFF2-40B4-BE49-F238E27FC236}">
                  <a16:creationId xmlns:a16="http://schemas.microsoft.com/office/drawing/2014/main" id="{00000000-0008-0000-1C00-0000D3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134</xdr:row>
          <xdr:rowOff>0</xdr:rowOff>
        </xdr:from>
        <xdr:to>
          <xdr:col>9</xdr:col>
          <xdr:colOff>0</xdr:colOff>
          <xdr:row>135</xdr:row>
          <xdr:rowOff>0</xdr:rowOff>
        </xdr:to>
        <xdr:sp macro="" textlink="">
          <xdr:nvSpPr>
            <xdr:cNvPr id="362708" name="bpmDropDownFLU540" hidden="1">
              <a:extLst>
                <a:ext uri="{63B3BB69-23CF-44E3-9099-C40C66FF867C}">
                  <a14:compatExt spid="_x0000_s362708"/>
                </a:ext>
                <a:ext uri="{FF2B5EF4-FFF2-40B4-BE49-F238E27FC236}">
                  <a16:creationId xmlns:a16="http://schemas.microsoft.com/office/drawing/2014/main" id="{00000000-0008-0000-1C00-0000D48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476250</xdr:colOff>
      <xdr:row>2</xdr:row>
      <xdr:rowOff>9525</xdr:rowOff>
    </xdr:from>
    <xdr:to>
      <xdr:col>7</xdr:col>
      <xdr:colOff>1228725</xdr:colOff>
      <xdr:row>3</xdr:row>
      <xdr:rowOff>123825</xdr:rowOff>
    </xdr:to>
    <xdr:sp macro="" textlink="">
      <xdr:nvSpPr>
        <xdr:cNvPr id="128" name="Auto Shape 1">
          <a:hlinkClick xmlns:r="http://schemas.openxmlformats.org/officeDocument/2006/relationships" r:id="rId1"/>
          <a:extLst>
            <a:ext uri="{FF2B5EF4-FFF2-40B4-BE49-F238E27FC236}">
              <a16:creationId xmlns:a16="http://schemas.microsoft.com/office/drawing/2014/main" id="{00000000-0008-0000-1C00-000080000000}"/>
            </a:ext>
          </a:extLst>
        </xdr:cNvPr>
        <xdr:cNvSpPr/>
      </xdr:nvSpPr>
      <xdr:spPr>
        <a:xfrm>
          <a:off x="2743200" y="514350"/>
          <a:ext cx="16383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129" name="Picture 1">
          <a:hlinkClick xmlns:r="http://schemas.openxmlformats.org/officeDocument/2006/relationships" r:id="rId2"/>
          <a:extLst>
            <a:ext uri="{FF2B5EF4-FFF2-40B4-BE49-F238E27FC236}">
              <a16:creationId xmlns:a16="http://schemas.microsoft.com/office/drawing/2014/main" id="{00000000-0008-0000-1C00-000081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7</xdr:col>
      <xdr:colOff>1409700</xdr:colOff>
      <xdr:row>2</xdr:row>
      <xdr:rowOff>0</xdr:rowOff>
    </xdr:from>
    <xdr:to>
      <xdr:col>11</xdr:col>
      <xdr:colOff>742951</xdr:colOff>
      <xdr:row>3</xdr:row>
      <xdr:rowOff>123825</xdr:rowOff>
    </xdr:to>
    <xdr:sp macro="" textlink="">
      <xdr:nvSpPr>
        <xdr:cNvPr id="130" name="Auto Shape 2">
          <a:hlinkClick xmlns:r="http://schemas.openxmlformats.org/officeDocument/2006/relationships" r:id="rId4"/>
          <a:extLst>
            <a:ext uri="{FF2B5EF4-FFF2-40B4-BE49-F238E27FC236}">
              <a16:creationId xmlns:a16="http://schemas.microsoft.com/office/drawing/2014/main" id="{00000000-0008-0000-1C00-000082000000}"/>
            </a:ext>
          </a:extLst>
        </xdr:cNvPr>
        <xdr:cNvSpPr/>
      </xdr:nvSpPr>
      <xdr:spPr>
        <a:xfrm>
          <a:off x="4562475" y="504825"/>
          <a:ext cx="3562351" cy="314325"/>
        </a:xfrm>
        <a:prstGeom prst="snip1Rect">
          <a:avLst/>
        </a:prstGeom>
        <a:solidFill>
          <a:schemeClr val="accent6">
            <a:lumMod val="75000"/>
          </a:schemeClr>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SUPERVISION</a:t>
          </a:r>
          <a:r>
            <a:rPr lang="en-US" sz="1100" b="1" baseline="0">
              <a:solidFill>
                <a:schemeClr val="bg1"/>
              </a:solidFill>
            </a:rPr>
            <a:t> &amp; </a:t>
          </a:r>
          <a:r>
            <a:rPr lang="en-US" sz="1100" b="1">
              <a:solidFill>
                <a:schemeClr val="bg1"/>
              </a:solidFill>
            </a:rPr>
            <a:t>MONITORING</a:t>
          </a:r>
        </a:p>
      </xdr:txBody>
    </xdr:sp>
    <xdr:clientData/>
  </xdr:twoCellAnchor>
  <xdr:twoCellAnchor editAs="oneCell">
    <xdr:from>
      <xdr:col>11</xdr:col>
      <xdr:colOff>1009650</xdr:colOff>
      <xdr:row>1</xdr:row>
      <xdr:rowOff>76200</xdr:rowOff>
    </xdr:from>
    <xdr:to>
      <xdr:col>12</xdr:col>
      <xdr:colOff>285751</xdr:colOff>
      <xdr:row>3</xdr:row>
      <xdr:rowOff>58875</xdr:rowOff>
    </xdr:to>
    <xdr:pic>
      <xdr:nvPicPr>
        <xdr:cNvPr id="131" name="Picture 2">
          <a:extLst>
            <a:ext uri="{FF2B5EF4-FFF2-40B4-BE49-F238E27FC236}">
              <a16:creationId xmlns:a16="http://schemas.microsoft.com/office/drawing/2014/main" id="{00000000-0008-0000-1C00-000083000000}"/>
            </a:ext>
          </a:extLst>
        </xdr:cNvPr>
        <xdr:cNvPicPr>
          <a:picLocks noChangeAspect="1"/>
        </xdr:cNvPicPr>
      </xdr:nvPicPr>
      <xdr:blipFill>
        <a:blip xmlns:r="http://schemas.openxmlformats.org/officeDocument/2006/relationships" r:embed="rId5"/>
        <a:stretch>
          <a:fillRect/>
        </a:stretch>
      </xdr:blipFill>
      <xdr:spPr>
        <a:xfrm>
          <a:off x="8391525" y="342900"/>
          <a:ext cx="466726" cy="4113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7</xdr:col>
          <xdr:colOff>0</xdr:colOff>
          <xdr:row>14</xdr:row>
          <xdr:rowOff>0</xdr:rowOff>
        </xdr:to>
        <xdr:sp macro="" textlink="">
          <xdr:nvSpPr>
            <xdr:cNvPr id="281821" name="bpmDropDownFLU11" hidden="1">
              <a:extLst>
                <a:ext uri="{63B3BB69-23CF-44E3-9099-C40C66FF867C}">
                  <a14:compatExt spid="_x0000_s281821"/>
                </a:ext>
                <a:ext uri="{FF2B5EF4-FFF2-40B4-BE49-F238E27FC236}">
                  <a16:creationId xmlns:a16="http://schemas.microsoft.com/office/drawing/2014/main" id="{00000000-0008-0000-1D00-0000DD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7</xdr:col>
          <xdr:colOff>0</xdr:colOff>
          <xdr:row>15</xdr:row>
          <xdr:rowOff>0</xdr:rowOff>
        </xdr:to>
        <xdr:sp macro="" textlink="">
          <xdr:nvSpPr>
            <xdr:cNvPr id="281822" name="bpmDropDownFLU12" hidden="1">
              <a:extLst>
                <a:ext uri="{63B3BB69-23CF-44E3-9099-C40C66FF867C}">
                  <a14:compatExt spid="_x0000_s281822"/>
                </a:ext>
                <a:ext uri="{FF2B5EF4-FFF2-40B4-BE49-F238E27FC236}">
                  <a16:creationId xmlns:a16="http://schemas.microsoft.com/office/drawing/2014/main" id="{00000000-0008-0000-1D00-0000DE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281823" name="bpmDropDownFLU13" hidden="1">
              <a:extLst>
                <a:ext uri="{63B3BB69-23CF-44E3-9099-C40C66FF867C}">
                  <a14:compatExt spid="_x0000_s281823"/>
                </a:ext>
                <a:ext uri="{FF2B5EF4-FFF2-40B4-BE49-F238E27FC236}">
                  <a16:creationId xmlns:a16="http://schemas.microsoft.com/office/drawing/2014/main" id="{00000000-0008-0000-1D00-0000DF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281824" name="bpmDropDownFLU14" hidden="1">
              <a:extLst>
                <a:ext uri="{63B3BB69-23CF-44E3-9099-C40C66FF867C}">
                  <a14:compatExt spid="_x0000_s281824"/>
                </a:ext>
                <a:ext uri="{FF2B5EF4-FFF2-40B4-BE49-F238E27FC236}">
                  <a16:creationId xmlns:a16="http://schemas.microsoft.com/office/drawing/2014/main" id="{00000000-0008-0000-1D00-0000E0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281825" name="bpmDropDownFLU15" hidden="1">
              <a:extLst>
                <a:ext uri="{63B3BB69-23CF-44E3-9099-C40C66FF867C}">
                  <a14:compatExt spid="_x0000_s281825"/>
                </a:ext>
                <a:ext uri="{FF2B5EF4-FFF2-40B4-BE49-F238E27FC236}">
                  <a16:creationId xmlns:a16="http://schemas.microsoft.com/office/drawing/2014/main" id="{00000000-0008-0000-1D00-0000E1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281826" name="bpmDropDownFLU16" hidden="1">
              <a:extLst>
                <a:ext uri="{63B3BB69-23CF-44E3-9099-C40C66FF867C}">
                  <a14:compatExt spid="_x0000_s281826"/>
                </a:ext>
                <a:ext uri="{FF2B5EF4-FFF2-40B4-BE49-F238E27FC236}">
                  <a16:creationId xmlns:a16="http://schemas.microsoft.com/office/drawing/2014/main" id="{00000000-0008-0000-1D00-0000E2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281827" name="bpmDropDownFLU17" hidden="1">
              <a:extLst>
                <a:ext uri="{63B3BB69-23CF-44E3-9099-C40C66FF867C}">
                  <a14:compatExt spid="_x0000_s281827"/>
                </a:ext>
                <a:ext uri="{FF2B5EF4-FFF2-40B4-BE49-F238E27FC236}">
                  <a16:creationId xmlns:a16="http://schemas.microsoft.com/office/drawing/2014/main" id="{00000000-0008-0000-1D00-0000E3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281828" name="bpmDropDownFLU18" hidden="1">
              <a:extLst>
                <a:ext uri="{63B3BB69-23CF-44E3-9099-C40C66FF867C}">
                  <a14:compatExt spid="_x0000_s281828"/>
                </a:ext>
                <a:ext uri="{FF2B5EF4-FFF2-40B4-BE49-F238E27FC236}">
                  <a16:creationId xmlns:a16="http://schemas.microsoft.com/office/drawing/2014/main" id="{00000000-0008-0000-1D00-0000E4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281830" name="bpmDropDownFLU20" hidden="1">
              <a:extLst>
                <a:ext uri="{63B3BB69-23CF-44E3-9099-C40C66FF867C}">
                  <a14:compatExt spid="_x0000_s281830"/>
                </a:ext>
                <a:ext uri="{FF2B5EF4-FFF2-40B4-BE49-F238E27FC236}">
                  <a16:creationId xmlns:a16="http://schemas.microsoft.com/office/drawing/2014/main" id="{00000000-0008-0000-1D00-0000E6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281831" name="bpmDropDownFLU21" hidden="1">
              <a:extLst>
                <a:ext uri="{63B3BB69-23CF-44E3-9099-C40C66FF867C}">
                  <a14:compatExt spid="_x0000_s281831"/>
                </a:ext>
                <a:ext uri="{FF2B5EF4-FFF2-40B4-BE49-F238E27FC236}">
                  <a16:creationId xmlns:a16="http://schemas.microsoft.com/office/drawing/2014/main" id="{00000000-0008-0000-1D00-0000E7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281832" name="bpmDropDownFLU22" hidden="1">
              <a:extLst>
                <a:ext uri="{63B3BB69-23CF-44E3-9099-C40C66FF867C}">
                  <a14:compatExt spid="_x0000_s281832"/>
                </a:ext>
                <a:ext uri="{FF2B5EF4-FFF2-40B4-BE49-F238E27FC236}">
                  <a16:creationId xmlns:a16="http://schemas.microsoft.com/office/drawing/2014/main" id="{00000000-0008-0000-1D00-0000E8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281833" name="bpmDropDownFLU23" hidden="1">
              <a:extLst>
                <a:ext uri="{63B3BB69-23CF-44E3-9099-C40C66FF867C}">
                  <a14:compatExt spid="_x0000_s281833"/>
                </a:ext>
                <a:ext uri="{FF2B5EF4-FFF2-40B4-BE49-F238E27FC236}">
                  <a16:creationId xmlns:a16="http://schemas.microsoft.com/office/drawing/2014/main" id="{00000000-0008-0000-1D00-0000E9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281834" name="bpmDropDownFLU24" hidden="1">
              <a:extLst>
                <a:ext uri="{63B3BB69-23CF-44E3-9099-C40C66FF867C}">
                  <a14:compatExt spid="_x0000_s281834"/>
                </a:ext>
                <a:ext uri="{FF2B5EF4-FFF2-40B4-BE49-F238E27FC236}">
                  <a16:creationId xmlns:a16="http://schemas.microsoft.com/office/drawing/2014/main" id="{00000000-0008-0000-1D00-0000EA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281835" name="bpmDropDownFLU27" hidden="1">
              <a:extLst>
                <a:ext uri="{63B3BB69-23CF-44E3-9099-C40C66FF867C}">
                  <a14:compatExt spid="_x0000_s281835"/>
                </a:ext>
                <a:ext uri="{FF2B5EF4-FFF2-40B4-BE49-F238E27FC236}">
                  <a16:creationId xmlns:a16="http://schemas.microsoft.com/office/drawing/2014/main" id="{00000000-0008-0000-1D00-0000EB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7</xdr:col>
          <xdr:colOff>0</xdr:colOff>
          <xdr:row>52</xdr:row>
          <xdr:rowOff>0</xdr:rowOff>
        </xdr:to>
        <xdr:sp macro="" textlink="">
          <xdr:nvSpPr>
            <xdr:cNvPr id="281851" name="bpmDropDownFLU53" hidden="1">
              <a:extLst>
                <a:ext uri="{63B3BB69-23CF-44E3-9099-C40C66FF867C}">
                  <a14:compatExt spid="_x0000_s281851"/>
                </a:ext>
                <a:ext uri="{FF2B5EF4-FFF2-40B4-BE49-F238E27FC236}">
                  <a16:creationId xmlns:a16="http://schemas.microsoft.com/office/drawing/2014/main" id="{00000000-0008-0000-1D00-0000FB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7</xdr:col>
          <xdr:colOff>0</xdr:colOff>
          <xdr:row>53</xdr:row>
          <xdr:rowOff>0</xdr:rowOff>
        </xdr:to>
        <xdr:sp macro="" textlink="">
          <xdr:nvSpPr>
            <xdr:cNvPr id="281852" name="bpmDropDownFLU54" hidden="1">
              <a:extLst>
                <a:ext uri="{63B3BB69-23CF-44E3-9099-C40C66FF867C}">
                  <a14:compatExt spid="_x0000_s281852"/>
                </a:ext>
                <a:ext uri="{FF2B5EF4-FFF2-40B4-BE49-F238E27FC236}">
                  <a16:creationId xmlns:a16="http://schemas.microsoft.com/office/drawing/2014/main" id="{00000000-0008-0000-1D00-0000FC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7</xdr:col>
          <xdr:colOff>0</xdr:colOff>
          <xdr:row>54</xdr:row>
          <xdr:rowOff>0</xdr:rowOff>
        </xdr:to>
        <xdr:sp macro="" textlink="">
          <xdr:nvSpPr>
            <xdr:cNvPr id="281853" name="bpmDropDownFLU55" hidden="1">
              <a:extLst>
                <a:ext uri="{63B3BB69-23CF-44E3-9099-C40C66FF867C}">
                  <a14:compatExt spid="_x0000_s281853"/>
                </a:ext>
                <a:ext uri="{FF2B5EF4-FFF2-40B4-BE49-F238E27FC236}">
                  <a16:creationId xmlns:a16="http://schemas.microsoft.com/office/drawing/2014/main" id="{00000000-0008-0000-1D00-0000FD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7</xdr:col>
          <xdr:colOff>0</xdr:colOff>
          <xdr:row>55</xdr:row>
          <xdr:rowOff>0</xdr:rowOff>
        </xdr:to>
        <xdr:sp macro="" textlink="">
          <xdr:nvSpPr>
            <xdr:cNvPr id="281854" name="bpmDropDownFLU56" hidden="1">
              <a:extLst>
                <a:ext uri="{63B3BB69-23CF-44E3-9099-C40C66FF867C}">
                  <a14:compatExt spid="_x0000_s281854"/>
                </a:ext>
                <a:ext uri="{FF2B5EF4-FFF2-40B4-BE49-F238E27FC236}">
                  <a16:creationId xmlns:a16="http://schemas.microsoft.com/office/drawing/2014/main" id="{00000000-0008-0000-1D00-0000FE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281855" name="bpmDropDownFLU58" hidden="1">
              <a:extLst>
                <a:ext uri="{63B3BB69-23CF-44E3-9099-C40C66FF867C}">
                  <a14:compatExt spid="_x0000_s281855"/>
                </a:ext>
                <a:ext uri="{FF2B5EF4-FFF2-40B4-BE49-F238E27FC236}">
                  <a16:creationId xmlns:a16="http://schemas.microsoft.com/office/drawing/2014/main" id="{00000000-0008-0000-1D00-0000FF4C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281856" name="bpmDropDownFLU60" hidden="1">
              <a:extLst>
                <a:ext uri="{63B3BB69-23CF-44E3-9099-C40C66FF867C}">
                  <a14:compatExt spid="_x0000_s281856"/>
                </a:ext>
                <a:ext uri="{FF2B5EF4-FFF2-40B4-BE49-F238E27FC236}">
                  <a16:creationId xmlns:a16="http://schemas.microsoft.com/office/drawing/2014/main" id="{00000000-0008-0000-1D00-00000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281857" name="bpmDropDownFLU61" hidden="1">
              <a:extLst>
                <a:ext uri="{63B3BB69-23CF-44E3-9099-C40C66FF867C}">
                  <a14:compatExt spid="_x0000_s281857"/>
                </a:ext>
                <a:ext uri="{FF2B5EF4-FFF2-40B4-BE49-F238E27FC236}">
                  <a16:creationId xmlns:a16="http://schemas.microsoft.com/office/drawing/2014/main" id="{00000000-0008-0000-1D00-00000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281858" name="bpmDropDownFLU62" hidden="1">
              <a:extLst>
                <a:ext uri="{63B3BB69-23CF-44E3-9099-C40C66FF867C}">
                  <a14:compatExt spid="_x0000_s281858"/>
                </a:ext>
                <a:ext uri="{FF2B5EF4-FFF2-40B4-BE49-F238E27FC236}">
                  <a16:creationId xmlns:a16="http://schemas.microsoft.com/office/drawing/2014/main" id="{00000000-0008-0000-1D00-00000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281860" name="bpmDropDownFLU66" hidden="1">
              <a:extLst>
                <a:ext uri="{63B3BB69-23CF-44E3-9099-C40C66FF867C}">
                  <a14:compatExt spid="_x0000_s281860"/>
                </a:ext>
                <a:ext uri="{FF2B5EF4-FFF2-40B4-BE49-F238E27FC236}">
                  <a16:creationId xmlns:a16="http://schemas.microsoft.com/office/drawing/2014/main" id="{00000000-0008-0000-1D00-00000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281861" name="bpmDropDownFLU67" hidden="1">
              <a:extLst>
                <a:ext uri="{63B3BB69-23CF-44E3-9099-C40C66FF867C}">
                  <a14:compatExt spid="_x0000_s281861"/>
                </a:ext>
                <a:ext uri="{FF2B5EF4-FFF2-40B4-BE49-F238E27FC236}">
                  <a16:creationId xmlns:a16="http://schemas.microsoft.com/office/drawing/2014/main" id="{00000000-0008-0000-1D00-00000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281862" name="bpmDropDownFLU68" hidden="1">
              <a:extLst>
                <a:ext uri="{63B3BB69-23CF-44E3-9099-C40C66FF867C}">
                  <a14:compatExt spid="_x0000_s281862"/>
                </a:ext>
                <a:ext uri="{FF2B5EF4-FFF2-40B4-BE49-F238E27FC236}">
                  <a16:creationId xmlns:a16="http://schemas.microsoft.com/office/drawing/2014/main" id="{00000000-0008-0000-1D00-00000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281863" name="bpmDropDownFLU114" hidden="1">
              <a:extLst>
                <a:ext uri="{63B3BB69-23CF-44E3-9099-C40C66FF867C}">
                  <a14:compatExt spid="_x0000_s281863"/>
                </a:ext>
                <a:ext uri="{FF2B5EF4-FFF2-40B4-BE49-F238E27FC236}">
                  <a16:creationId xmlns:a16="http://schemas.microsoft.com/office/drawing/2014/main" id="{00000000-0008-0000-1D00-000007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281864" name="bpmDropDownFLU121" hidden="1">
              <a:extLst>
                <a:ext uri="{63B3BB69-23CF-44E3-9099-C40C66FF867C}">
                  <a14:compatExt spid="_x0000_s281864"/>
                </a:ext>
                <a:ext uri="{FF2B5EF4-FFF2-40B4-BE49-F238E27FC236}">
                  <a16:creationId xmlns:a16="http://schemas.microsoft.com/office/drawing/2014/main" id="{00000000-0008-0000-1D00-00000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281865" name="bpmDropDownFLU122" hidden="1">
              <a:extLst>
                <a:ext uri="{63B3BB69-23CF-44E3-9099-C40C66FF867C}">
                  <a14:compatExt spid="_x0000_s281865"/>
                </a:ext>
                <a:ext uri="{FF2B5EF4-FFF2-40B4-BE49-F238E27FC236}">
                  <a16:creationId xmlns:a16="http://schemas.microsoft.com/office/drawing/2014/main" id="{00000000-0008-0000-1D00-00000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7</xdr:col>
          <xdr:colOff>0</xdr:colOff>
          <xdr:row>33</xdr:row>
          <xdr:rowOff>0</xdr:rowOff>
        </xdr:to>
        <xdr:sp macro="" textlink="">
          <xdr:nvSpPr>
            <xdr:cNvPr id="281866" name="bpmDropDownFLU123" hidden="1">
              <a:extLst>
                <a:ext uri="{63B3BB69-23CF-44E3-9099-C40C66FF867C}">
                  <a14:compatExt spid="_x0000_s281866"/>
                </a:ext>
                <a:ext uri="{FF2B5EF4-FFF2-40B4-BE49-F238E27FC236}">
                  <a16:creationId xmlns:a16="http://schemas.microsoft.com/office/drawing/2014/main" id="{00000000-0008-0000-1D00-00000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7</xdr:col>
          <xdr:colOff>0</xdr:colOff>
          <xdr:row>34</xdr:row>
          <xdr:rowOff>0</xdr:rowOff>
        </xdr:to>
        <xdr:sp macro="" textlink="">
          <xdr:nvSpPr>
            <xdr:cNvPr id="281867" name="bpmDropDownFLU124" hidden="1">
              <a:extLst>
                <a:ext uri="{63B3BB69-23CF-44E3-9099-C40C66FF867C}">
                  <a14:compatExt spid="_x0000_s281867"/>
                </a:ext>
                <a:ext uri="{FF2B5EF4-FFF2-40B4-BE49-F238E27FC236}">
                  <a16:creationId xmlns:a16="http://schemas.microsoft.com/office/drawing/2014/main" id="{00000000-0008-0000-1D00-00000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281868" name="bpmDropDownFLU125" hidden="1">
              <a:extLst>
                <a:ext uri="{63B3BB69-23CF-44E3-9099-C40C66FF867C}">
                  <a14:compatExt spid="_x0000_s281868"/>
                </a:ext>
                <a:ext uri="{FF2B5EF4-FFF2-40B4-BE49-F238E27FC236}">
                  <a16:creationId xmlns:a16="http://schemas.microsoft.com/office/drawing/2014/main" id="{00000000-0008-0000-1D00-00000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281869" name="bpmDropDownFLU126" hidden="1">
              <a:extLst>
                <a:ext uri="{63B3BB69-23CF-44E3-9099-C40C66FF867C}">
                  <a14:compatExt spid="_x0000_s281869"/>
                </a:ext>
                <a:ext uri="{FF2B5EF4-FFF2-40B4-BE49-F238E27FC236}">
                  <a16:creationId xmlns:a16="http://schemas.microsoft.com/office/drawing/2014/main" id="{00000000-0008-0000-1D00-00000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281870" name="bpmDropDownFLU127" hidden="1">
              <a:extLst>
                <a:ext uri="{63B3BB69-23CF-44E3-9099-C40C66FF867C}">
                  <a14:compatExt spid="_x0000_s281870"/>
                </a:ext>
                <a:ext uri="{FF2B5EF4-FFF2-40B4-BE49-F238E27FC236}">
                  <a16:creationId xmlns:a16="http://schemas.microsoft.com/office/drawing/2014/main" id="{00000000-0008-0000-1D00-00000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281871" name="bpmDropDownFLU128" hidden="1">
              <a:extLst>
                <a:ext uri="{63B3BB69-23CF-44E3-9099-C40C66FF867C}">
                  <a14:compatExt spid="_x0000_s281871"/>
                </a:ext>
                <a:ext uri="{FF2B5EF4-FFF2-40B4-BE49-F238E27FC236}">
                  <a16:creationId xmlns:a16="http://schemas.microsoft.com/office/drawing/2014/main" id="{00000000-0008-0000-1D00-00000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281872" name="bpmDropDownFLU129" hidden="1">
              <a:extLst>
                <a:ext uri="{63B3BB69-23CF-44E3-9099-C40C66FF867C}">
                  <a14:compatExt spid="_x0000_s281872"/>
                </a:ext>
                <a:ext uri="{FF2B5EF4-FFF2-40B4-BE49-F238E27FC236}">
                  <a16:creationId xmlns:a16="http://schemas.microsoft.com/office/drawing/2014/main" id="{00000000-0008-0000-1D00-00001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7</xdr:col>
          <xdr:colOff>0</xdr:colOff>
          <xdr:row>40</xdr:row>
          <xdr:rowOff>0</xdr:rowOff>
        </xdr:to>
        <xdr:sp macro="" textlink="">
          <xdr:nvSpPr>
            <xdr:cNvPr id="281873" name="bpmDropDownFLU130" hidden="1">
              <a:extLst>
                <a:ext uri="{63B3BB69-23CF-44E3-9099-C40C66FF867C}">
                  <a14:compatExt spid="_x0000_s281873"/>
                </a:ext>
                <a:ext uri="{FF2B5EF4-FFF2-40B4-BE49-F238E27FC236}">
                  <a16:creationId xmlns:a16="http://schemas.microsoft.com/office/drawing/2014/main" id="{00000000-0008-0000-1D00-00001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281875" name="bpmDropDownFLU132" hidden="1">
              <a:extLst>
                <a:ext uri="{63B3BB69-23CF-44E3-9099-C40C66FF867C}">
                  <a14:compatExt spid="_x0000_s281875"/>
                </a:ext>
                <a:ext uri="{FF2B5EF4-FFF2-40B4-BE49-F238E27FC236}">
                  <a16:creationId xmlns:a16="http://schemas.microsoft.com/office/drawing/2014/main" id="{00000000-0008-0000-1D00-00001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281876" name="bpmDropDownFLU137" hidden="1">
              <a:extLst>
                <a:ext uri="{63B3BB69-23CF-44E3-9099-C40C66FF867C}">
                  <a14:compatExt spid="_x0000_s281876"/>
                </a:ext>
                <a:ext uri="{FF2B5EF4-FFF2-40B4-BE49-F238E27FC236}">
                  <a16:creationId xmlns:a16="http://schemas.microsoft.com/office/drawing/2014/main" id="{00000000-0008-0000-1D00-00001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281877" name="bpmDropDownFLU138" hidden="1">
              <a:extLst>
                <a:ext uri="{63B3BB69-23CF-44E3-9099-C40C66FF867C}">
                  <a14:compatExt spid="_x0000_s281877"/>
                </a:ext>
                <a:ext uri="{FF2B5EF4-FFF2-40B4-BE49-F238E27FC236}">
                  <a16:creationId xmlns:a16="http://schemas.microsoft.com/office/drawing/2014/main" id="{00000000-0008-0000-1D00-00001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281878" name="bpmDropDownFLU139" hidden="1">
              <a:extLst>
                <a:ext uri="{63B3BB69-23CF-44E3-9099-C40C66FF867C}">
                  <a14:compatExt spid="_x0000_s281878"/>
                </a:ext>
                <a:ext uri="{FF2B5EF4-FFF2-40B4-BE49-F238E27FC236}">
                  <a16:creationId xmlns:a16="http://schemas.microsoft.com/office/drawing/2014/main" id="{00000000-0008-0000-1D00-00001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281879" name="bpmDropDownFLU140" hidden="1">
              <a:extLst>
                <a:ext uri="{63B3BB69-23CF-44E3-9099-C40C66FF867C}">
                  <a14:compatExt spid="_x0000_s281879"/>
                </a:ext>
                <a:ext uri="{FF2B5EF4-FFF2-40B4-BE49-F238E27FC236}">
                  <a16:creationId xmlns:a16="http://schemas.microsoft.com/office/drawing/2014/main" id="{00000000-0008-0000-1D00-000017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281880" name="bpmDropDownFLU141" hidden="1">
              <a:extLst>
                <a:ext uri="{63B3BB69-23CF-44E3-9099-C40C66FF867C}">
                  <a14:compatExt spid="_x0000_s281880"/>
                </a:ext>
                <a:ext uri="{FF2B5EF4-FFF2-40B4-BE49-F238E27FC236}">
                  <a16:creationId xmlns:a16="http://schemas.microsoft.com/office/drawing/2014/main" id="{00000000-0008-0000-1D00-00001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7</xdr:col>
          <xdr:colOff>0</xdr:colOff>
          <xdr:row>71</xdr:row>
          <xdr:rowOff>0</xdr:rowOff>
        </xdr:to>
        <xdr:sp macro="" textlink="">
          <xdr:nvSpPr>
            <xdr:cNvPr id="281881" name="bpmDropDownFLU142" hidden="1">
              <a:extLst>
                <a:ext uri="{63B3BB69-23CF-44E3-9099-C40C66FF867C}">
                  <a14:compatExt spid="_x0000_s281881"/>
                </a:ext>
                <a:ext uri="{FF2B5EF4-FFF2-40B4-BE49-F238E27FC236}">
                  <a16:creationId xmlns:a16="http://schemas.microsoft.com/office/drawing/2014/main" id="{00000000-0008-0000-1D00-00001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7</xdr:col>
          <xdr:colOff>0</xdr:colOff>
          <xdr:row>72</xdr:row>
          <xdr:rowOff>0</xdr:rowOff>
        </xdr:to>
        <xdr:sp macro="" textlink="">
          <xdr:nvSpPr>
            <xdr:cNvPr id="281882" name="bpmDropDownFLU143" hidden="1">
              <a:extLst>
                <a:ext uri="{63B3BB69-23CF-44E3-9099-C40C66FF867C}">
                  <a14:compatExt spid="_x0000_s281882"/>
                </a:ext>
                <a:ext uri="{FF2B5EF4-FFF2-40B4-BE49-F238E27FC236}">
                  <a16:creationId xmlns:a16="http://schemas.microsoft.com/office/drawing/2014/main" id="{00000000-0008-0000-1D00-00001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7</xdr:col>
          <xdr:colOff>0</xdr:colOff>
          <xdr:row>73</xdr:row>
          <xdr:rowOff>0</xdr:rowOff>
        </xdr:to>
        <xdr:sp macro="" textlink="">
          <xdr:nvSpPr>
            <xdr:cNvPr id="281883" name="bpmDropDownFLU144" hidden="1">
              <a:extLst>
                <a:ext uri="{63B3BB69-23CF-44E3-9099-C40C66FF867C}">
                  <a14:compatExt spid="_x0000_s281883"/>
                </a:ext>
                <a:ext uri="{FF2B5EF4-FFF2-40B4-BE49-F238E27FC236}">
                  <a16:creationId xmlns:a16="http://schemas.microsoft.com/office/drawing/2014/main" id="{00000000-0008-0000-1D00-00001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7</xdr:col>
          <xdr:colOff>0</xdr:colOff>
          <xdr:row>74</xdr:row>
          <xdr:rowOff>0</xdr:rowOff>
        </xdr:to>
        <xdr:sp macro="" textlink="">
          <xdr:nvSpPr>
            <xdr:cNvPr id="281884" name="bpmDropDownFLU145" hidden="1">
              <a:extLst>
                <a:ext uri="{63B3BB69-23CF-44E3-9099-C40C66FF867C}">
                  <a14:compatExt spid="_x0000_s281884"/>
                </a:ext>
                <a:ext uri="{FF2B5EF4-FFF2-40B4-BE49-F238E27FC236}">
                  <a16:creationId xmlns:a16="http://schemas.microsoft.com/office/drawing/2014/main" id="{00000000-0008-0000-1D00-00001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7</xdr:col>
          <xdr:colOff>0</xdr:colOff>
          <xdr:row>75</xdr:row>
          <xdr:rowOff>0</xdr:rowOff>
        </xdr:to>
        <xdr:sp macro="" textlink="">
          <xdr:nvSpPr>
            <xdr:cNvPr id="281885" name="bpmDropDownFLU146" hidden="1">
              <a:extLst>
                <a:ext uri="{63B3BB69-23CF-44E3-9099-C40C66FF867C}">
                  <a14:compatExt spid="_x0000_s281885"/>
                </a:ext>
                <a:ext uri="{FF2B5EF4-FFF2-40B4-BE49-F238E27FC236}">
                  <a16:creationId xmlns:a16="http://schemas.microsoft.com/office/drawing/2014/main" id="{00000000-0008-0000-1D00-00001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7</xdr:col>
          <xdr:colOff>0</xdr:colOff>
          <xdr:row>76</xdr:row>
          <xdr:rowOff>0</xdr:rowOff>
        </xdr:to>
        <xdr:sp macro="" textlink="">
          <xdr:nvSpPr>
            <xdr:cNvPr id="281886" name="bpmDropDownFLU147" hidden="1">
              <a:extLst>
                <a:ext uri="{63B3BB69-23CF-44E3-9099-C40C66FF867C}">
                  <a14:compatExt spid="_x0000_s281886"/>
                </a:ext>
                <a:ext uri="{FF2B5EF4-FFF2-40B4-BE49-F238E27FC236}">
                  <a16:creationId xmlns:a16="http://schemas.microsoft.com/office/drawing/2014/main" id="{00000000-0008-0000-1D00-00001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281887" name="bpmDropDownFLU149" hidden="1">
              <a:extLst>
                <a:ext uri="{63B3BB69-23CF-44E3-9099-C40C66FF867C}">
                  <a14:compatExt spid="_x0000_s281887"/>
                </a:ext>
                <a:ext uri="{FF2B5EF4-FFF2-40B4-BE49-F238E27FC236}">
                  <a16:creationId xmlns:a16="http://schemas.microsoft.com/office/drawing/2014/main" id="{00000000-0008-0000-1D00-00001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281888" name="bpmDropDownFLU150" hidden="1">
              <a:extLst>
                <a:ext uri="{63B3BB69-23CF-44E3-9099-C40C66FF867C}">
                  <a14:compatExt spid="_x0000_s281888"/>
                </a:ext>
                <a:ext uri="{FF2B5EF4-FFF2-40B4-BE49-F238E27FC236}">
                  <a16:creationId xmlns:a16="http://schemas.microsoft.com/office/drawing/2014/main" id="{00000000-0008-0000-1D00-00002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281890" name="bpmDropDownFLU161" hidden="1">
              <a:extLst>
                <a:ext uri="{63B3BB69-23CF-44E3-9099-C40C66FF867C}">
                  <a14:compatExt spid="_x0000_s281890"/>
                </a:ext>
                <a:ext uri="{FF2B5EF4-FFF2-40B4-BE49-F238E27FC236}">
                  <a16:creationId xmlns:a16="http://schemas.microsoft.com/office/drawing/2014/main" id="{00000000-0008-0000-1D00-00002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281891" name="bpmDropDownFLU162" hidden="1">
              <a:extLst>
                <a:ext uri="{63B3BB69-23CF-44E3-9099-C40C66FF867C}">
                  <a14:compatExt spid="_x0000_s281891"/>
                </a:ext>
                <a:ext uri="{FF2B5EF4-FFF2-40B4-BE49-F238E27FC236}">
                  <a16:creationId xmlns:a16="http://schemas.microsoft.com/office/drawing/2014/main" id="{00000000-0008-0000-1D00-00002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281892" name="bpmDropDownFLU163" hidden="1">
              <a:extLst>
                <a:ext uri="{63B3BB69-23CF-44E3-9099-C40C66FF867C}">
                  <a14:compatExt spid="_x0000_s281892"/>
                </a:ext>
                <a:ext uri="{FF2B5EF4-FFF2-40B4-BE49-F238E27FC236}">
                  <a16:creationId xmlns:a16="http://schemas.microsoft.com/office/drawing/2014/main" id="{00000000-0008-0000-1D00-00002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281893" name="bpmDropDownFLU165" hidden="1">
              <a:extLst>
                <a:ext uri="{63B3BB69-23CF-44E3-9099-C40C66FF867C}">
                  <a14:compatExt spid="_x0000_s281893"/>
                </a:ext>
                <a:ext uri="{FF2B5EF4-FFF2-40B4-BE49-F238E27FC236}">
                  <a16:creationId xmlns:a16="http://schemas.microsoft.com/office/drawing/2014/main" id="{00000000-0008-0000-1D00-00002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281894" name="bpmDropDownFLU367" hidden="1">
              <a:extLst>
                <a:ext uri="{63B3BB69-23CF-44E3-9099-C40C66FF867C}">
                  <a14:compatExt spid="_x0000_s281894"/>
                </a:ext>
                <a:ext uri="{FF2B5EF4-FFF2-40B4-BE49-F238E27FC236}">
                  <a16:creationId xmlns:a16="http://schemas.microsoft.com/office/drawing/2014/main" id="{00000000-0008-0000-1D00-00002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7</xdr:col>
          <xdr:colOff>0</xdr:colOff>
          <xdr:row>84</xdr:row>
          <xdr:rowOff>0</xdr:rowOff>
        </xdr:to>
        <xdr:sp macro="" textlink="">
          <xdr:nvSpPr>
            <xdr:cNvPr id="281895" name="bpmDropDownFLU368" hidden="1">
              <a:extLst>
                <a:ext uri="{63B3BB69-23CF-44E3-9099-C40C66FF867C}">
                  <a14:compatExt spid="_x0000_s281895"/>
                </a:ext>
                <a:ext uri="{FF2B5EF4-FFF2-40B4-BE49-F238E27FC236}">
                  <a16:creationId xmlns:a16="http://schemas.microsoft.com/office/drawing/2014/main" id="{00000000-0008-0000-1D00-000027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281896" name="bpmDropDownFLU369" hidden="1">
              <a:extLst>
                <a:ext uri="{63B3BB69-23CF-44E3-9099-C40C66FF867C}">
                  <a14:compatExt spid="_x0000_s281896"/>
                </a:ext>
                <a:ext uri="{FF2B5EF4-FFF2-40B4-BE49-F238E27FC236}">
                  <a16:creationId xmlns:a16="http://schemas.microsoft.com/office/drawing/2014/main" id="{00000000-0008-0000-1D00-00002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281897" name="bpmDropDownFLU370" hidden="1">
              <a:extLst>
                <a:ext uri="{63B3BB69-23CF-44E3-9099-C40C66FF867C}">
                  <a14:compatExt spid="_x0000_s281897"/>
                </a:ext>
                <a:ext uri="{FF2B5EF4-FFF2-40B4-BE49-F238E27FC236}">
                  <a16:creationId xmlns:a16="http://schemas.microsoft.com/office/drawing/2014/main" id="{00000000-0008-0000-1D00-00002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281898" name="bpmDropDownFLU371" hidden="1">
              <a:extLst>
                <a:ext uri="{63B3BB69-23CF-44E3-9099-C40C66FF867C}">
                  <a14:compatExt spid="_x0000_s281898"/>
                </a:ext>
                <a:ext uri="{FF2B5EF4-FFF2-40B4-BE49-F238E27FC236}">
                  <a16:creationId xmlns:a16="http://schemas.microsoft.com/office/drawing/2014/main" id="{00000000-0008-0000-1D00-00002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281899" name="bpmDropDownFLU372" hidden="1">
              <a:extLst>
                <a:ext uri="{63B3BB69-23CF-44E3-9099-C40C66FF867C}">
                  <a14:compatExt spid="_x0000_s281899"/>
                </a:ext>
                <a:ext uri="{FF2B5EF4-FFF2-40B4-BE49-F238E27FC236}">
                  <a16:creationId xmlns:a16="http://schemas.microsoft.com/office/drawing/2014/main" id="{00000000-0008-0000-1D00-00002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281900" name="bpmDropDownFLU373" hidden="1">
              <a:extLst>
                <a:ext uri="{63B3BB69-23CF-44E3-9099-C40C66FF867C}">
                  <a14:compatExt spid="_x0000_s281900"/>
                </a:ext>
                <a:ext uri="{FF2B5EF4-FFF2-40B4-BE49-F238E27FC236}">
                  <a16:creationId xmlns:a16="http://schemas.microsoft.com/office/drawing/2014/main" id="{00000000-0008-0000-1D00-00002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281901" name="bpmDropDownFLU374" hidden="1">
              <a:extLst>
                <a:ext uri="{63B3BB69-23CF-44E3-9099-C40C66FF867C}">
                  <a14:compatExt spid="_x0000_s281901"/>
                </a:ext>
                <a:ext uri="{FF2B5EF4-FFF2-40B4-BE49-F238E27FC236}">
                  <a16:creationId xmlns:a16="http://schemas.microsoft.com/office/drawing/2014/main" id="{00000000-0008-0000-1D00-00002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281902" name="bpmDropDownFLU375" hidden="1">
              <a:extLst>
                <a:ext uri="{63B3BB69-23CF-44E3-9099-C40C66FF867C}">
                  <a14:compatExt spid="_x0000_s281902"/>
                </a:ext>
                <a:ext uri="{FF2B5EF4-FFF2-40B4-BE49-F238E27FC236}">
                  <a16:creationId xmlns:a16="http://schemas.microsoft.com/office/drawing/2014/main" id="{00000000-0008-0000-1D00-00002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281903" name="bpmDropDownFLU376" hidden="1">
              <a:extLst>
                <a:ext uri="{63B3BB69-23CF-44E3-9099-C40C66FF867C}">
                  <a14:compatExt spid="_x0000_s281903"/>
                </a:ext>
                <a:ext uri="{FF2B5EF4-FFF2-40B4-BE49-F238E27FC236}">
                  <a16:creationId xmlns:a16="http://schemas.microsoft.com/office/drawing/2014/main" id="{00000000-0008-0000-1D00-00002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281905" name="bpmDropDownFLU378" hidden="1">
              <a:extLst>
                <a:ext uri="{63B3BB69-23CF-44E3-9099-C40C66FF867C}">
                  <a14:compatExt spid="_x0000_s281905"/>
                </a:ext>
                <a:ext uri="{FF2B5EF4-FFF2-40B4-BE49-F238E27FC236}">
                  <a16:creationId xmlns:a16="http://schemas.microsoft.com/office/drawing/2014/main" id="{00000000-0008-0000-1D00-00003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281906" name="bpmDropDownFLU379" hidden="1">
              <a:extLst>
                <a:ext uri="{63B3BB69-23CF-44E3-9099-C40C66FF867C}">
                  <a14:compatExt spid="_x0000_s281906"/>
                </a:ext>
                <a:ext uri="{FF2B5EF4-FFF2-40B4-BE49-F238E27FC236}">
                  <a16:creationId xmlns:a16="http://schemas.microsoft.com/office/drawing/2014/main" id="{00000000-0008-0000-1D00-00003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281907" name="bpmDropDownFLU380" hidden="1">
              <a:extLst>
                <a:ext uri="{63B3BB69-23CF-44E3-9099-C40C66FF867C}">
                  <a14:compatExt spid="_x0000_s281907"/>
                </a:ext>
                <a:ext uri="{FF2B5EF4-FFF2-40B4-BE49-F238E27FC236}">
                  <a16:creationId xmlns:a16="http://schemas.microsoft.com/office/drawing/2014/main" id="{00000000-0008-0000-1D00-00003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281908" name="bpmDropDownFLU381" hidden="1">
              <a:extLst>
                <a:ext uri="{63B3BB69-23CF-44E3-9099-C40C66FF867C}">
                  <a14:compatExt spid="_x0000_s281908"/>
                </a:ext>
                <a:ext uri="{FF2B5EF4-FFF2-40B4-BE49-F238E27FC236}">
                  <a16:creationId xmlns:a16="http://schemas.microsoft.com/office/drawing/2014/main" id="{00000000-0008-0000-1D00-00003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281909" name="bpmDropDownFLU382" hidden="1">
              <a:extLst>
                <a:ext uri="{63B3BB69-23CF-44E3-9099-C40C66FF867C}">
                  <a14:compatExt spid="_x0000_s281909"/>
                </a:ext>
                <a:ext uri="{FF2B5EF4-FFF2-40B4-BE49-F238E27FC236}">
                  <a16:creationId xmlns:a16="http://schemas.microsoft.com/office/drawing/2014/main" id="{00000000-0008-0000-1D00-00003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281910" name="bpmDropDownFLU383" hidden="1">
              <a:extLst>
                <a:ext uri="{63B3BB69-23CF-44E3-9099-C40C66FF867C}">
                  <a14:compatExt spid="_x0000_s281910"/>
                </a:ext>
                <a:ext uri="{FF2B5EF4-FFF2-40B4-BE49-F238E27FC236}">
                  <a16:creationId xmlns:a16="http://schemas.microsoft.com/office/drawing/2014/main" id="{00000000-0008-0000-1D00-00003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281914" name="bpmDropDownFLU418" hidden="1">
              <a:extLst>
                <a:ext uri="{63B3BB69-23CF-44E3-9099-C40C66FF867C}">
                  <a14:compatExt spid="_x0000_s281914"/>
                </a:ext>
                <a:ext uri="{FF2B5EF4-FFF2-40B4-BE49-F238E27FC236}">
                  <a16:creationId xmlns:a16="http://schemas.microsoft.com/office/drawing/2014/main" id="{00000000-0008-0000-1D00-00003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281915" name="bpmDropDownFLU419" hidden="1">
              <a:extLst>
                <a:ext uri="{63B3BB69-23CF-44E3-9099-C40C66FF867C}">
                  <a14:compatExt spid="_x0000_s281915"/>
                </a:ext>
                <a:ext uri="{FF2B5EF4-FFF2-40B4-BE49-F238E27FC236}">
                  <a16:creationId xmlns:a16="http://schemas.microsoft.com/office/drawing/2014/main" id="{00000000-0008-0000-1D00-00003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281916" name="bpmDropDownFLU420" hidden="1">
              <a:extLst>
                <a:ext uri="{63B3BB69-23CF-44E3-9099-C40C66FF867C}">
                  <a14:compatExt spid="_x0000_s281916"/>
                </a:ext>
                <a:ext uri="{FF2B5EF4-FFF2-40B4-BE49-F238E27FC236}">
                  <a16:creationId xmlns:a16="http://schemas.microsoft.com/office/drawing/2014/main" id="{00000000-0008-0000-1D00-00003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281917" name="bpmDropDownFLU421" hidden="1">
              <a:extLst>
                <a:ext uri="{63B3BB69-23CF-44E3-9099-C40C66FF867C}">
                  <a14:compatExt spid="_x0000_s281917"/>
                </a:ext>
                <a:ext uri="{FF2B5EF4-FFF2-40B4-BE49-F238E27FC236}">
                  <a16:creationId xmlns:a16="http://schemas.microsoft.com/office/drawing/2014/main" id="{00000000-0008-0000-1D00-00003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281918" name="bpmDropDownFLU422" hidden="1">
              <a:extLst>
                <a:ext uri="{63B3BB69-23CF-44E3-9099-C40C66FF867C}">
                  <a14:compatExt spid="_x0000_s281918"/>
                </a:ext>
                <a:ext uri="{FF2B5EF4-FFF2-40B4-BE49-F238E27FC236}">
                  <a16:creationId xmlns:a16="http://schemas.microsoft.com/office/drawing/2014/main" id="{00000000-0008-0000-1D00-00003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819150</xdr:colOff>
      <xdr:row>0</xdr:row>
      <xdr:rowOff>238125</xdr:rowOff>
    </xdr:from>
    <xdr:to>
      <xdr:col>12</xdr:col>
      <xdr:colOff>685800</xdr:colOff>
      <xdr:row>2</xdr:row>
      <xdr:rowOff>38100</xdr:rowOff>
    </xdr:to>
    <xdr:sp macro="" textlink="">
      <xdr:nvSpPr>
        <xdr:cNvPr id="82" name="Auto Shape 1">
          <a:hlinkClick xmlns:r="http://schemas.openxmlformats.org/officeDocument/2006/relationships" r:id="rId1"/>
          <a:extLst>
            <a:ext uri="{FF2B5EF4-FFF2-40B4-BE49-F238E27FC236}">
              <a16:creationId xmlns:a16="http://schemas.microsoft.com/office/drawing/2014/main" id="{00000000-0008-0000-1D00-000052000000}"/>
            </a:ext>
          </a:extLst>
        </xdr:cNvPr>
        <xdr:cNvSpPr/>
      </xdr:nvSpPr>
      <xdr:spPr>
        <a:xfrm>
          <a:off x="8077200" y="238125"/>
          <a:ext cx="16383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83" name="Picture 1">
          <a:hlinkClick xmlns:r="http://schemas.openxmlformats.org/officeDocument/2006/relationships" r:id="rId2"/>
          <a:extLst>
            <a:ext uri="{FF2B5EF4-FFF2-40B4-BE49-F238E27FC236}">
              <a16:creationId xmlns:a16="http://schemas.microsoft.com/office/drawing/2014/main" id="{00000000-0008-0000-1D00-000053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9</xdr:col>
      <xdr:colOff>742950</xdr:colOff>
      <xdr:row>0</xdr:row>
      <xdr:rowOff>95250</xdr:rowOff>
    </xdr:from>
    <xdr:to>
      <xdr:col>10</xdr:col>
      <xdr:colOff>676275</xdr:colOff>
      <xdr:row>2</xdr:row>
      <xdr:rowOff>0</xdr:rowOff>
    </xdr:to>
    <xdr:grpSp>
      <xdr:nvGrpSpPr>
        <xdr:cNvPr id="85" name="Group 1">
          <a:extLst>
            <a:ext uri="{FF2B5EF4-FFF2-40B4-BE49-F238E27FC236}">
              <a16:creationId xmlns:a16="http://schemas.microsoft.com/office/drawing/2014/main" id="{00000000-0008-0000-1D00-000055000000}"/>
            </a:ext>
          </a:extLst>
        </xdr:cNvPr>
        <xdr:cNvGrpSpPr/>
      </xdr:nvGrpSpPr>
      <xdr:grpSpPr>
        <a:xfrm>
          <a:off x="6482715" y="91440"/>
          <a:ext cx="735330" cy="403860"/>
          <a:chOff x="8743950" y="161925"/>
          <a:chExt cx="933393" cy="466668"/>
        </a:xfrm>
      </xdr:grpSpPr>
      <xdr:pic>
        <xdr:nvPicPr>
          <xdr:cNvPr id="86" name="Picture 2">
            <a:extLst>
              <a:ext uri="{FF2B5EF4-FFF2-40B4-BE49-F238E27FC236}">
                <a16:creationId xmlns:a16="http://schemas.microsoft.com/office/drawing/2014/main" id="{00000000-0008-0000-1D00-000056000000}"/>
              </a:ext>
            </a:extLst>
          </xdr:cNvPr>
          <xdr:cNvPicPr>
            <a:picLocks noChangeAspect="1"/>
          </xdr:cNvPicPr>
        </xdr:nvPicPr>
        <xdr:blipFill>
          <a:blip xmlns:r="http://schemas.openxmlformats.org/officeDocument/2006/relationships" r:embed="rId4"/>
          <a:stretch>
            <a:fillRect/>
          </a:stretch>
        </xdr:blipFill>
        <xdr:spPr>
          <a:xfrm>
            <a:off x="9220200" y="171450"/>
            <a:ext cx="457143" cy="457143"/>
          </a:xfrm>
          <a:prstGeom prst="rect">
            <a:avLst/>
          </a:prstGeom>
        </xdr:spPr>
      </xdr:pic>
      <xdr:pic>
        <xdr:nvPicPr>
          <xdr:cNvPr id="87" name="Picture 3">
            <a:extLst>
              <a:ext uri="{FF2B5EF4-FFF2-40B4-BE49-F238E27FC236}">
                <a16:creationId xmlns:a16="http://schemas.microsoft.com/office/drawing/2014/main" id="{00000000-0008-0000-1D00-000057000000}"/>
              </a:ext>
            </a:extLst>
          </xdr:cNvPr>
          <xdr:cNvPicPr>
            <a:picLocks noChangeAspect="1"/>
          </xdr:cNvPicPr>
        </xdr:nvPicPr>
        <xdr:blipFill>
          <a:blip xmlns:r="http://schemas.openxmlformats.org/officeDocument/2006/relationships" r:embed="rId5"/>
          <a:stretch>
            <a:fillRect/>
          </a:stretch>
        </xdr:blipFill>
        <xdr:spPr>
          <a:xfrm>
            <a:off x="8743950" y="161925"/>
            <a:ext cx="457143" cy="457143"/>
          </a:xfrm>
          <a:prstGeom prst="rect">
            <a:avLst/>
          </a:prstGeom>
        </xdr:spPr>
      </xdr:pic>
    </xdr:grpSp>
    <xdr:clientData/>
  </xdr:twoCellAnchor>
  <xdr:twoCellAnchor>
    <xdr:from>
      <xdr:col>7</xdr:col>
      <xdr:colOff>914400</xdr:colOff>
      <xdr:row>2</xdr:row>
      <xdr:rowOff>9525</xdr:rowOff>
    </xdr:from>
    <xdr:to>
      <xdr:col>9</xdr:col>
      <xdr:colOff>438150</xdr:colOff>
      <xdr:row>3</xdr:row>
      <xdr:rowOff>152400</xdr:rowOff>
    </xdr:to>
    <xdr:sp macro="" textlink="">
      <xdr:nvSpPr>
        <xdr:cNvPr id="88" name="Auto Shape 2">
          <a:hlinkClick xmlns:r="http://schemas.openxmlformats.org/officeDocument/2006/relationships" r:id="rId6"/>
          <a:extLst>
            <a:ext uri="{FF2B5EF4-FFF2-40B4-BE49-F238E27FC236}">
              <a16:creationId xmlns:a16="http://schemas.microsoft.com/office/drawing/2014/main" id="{00000000-0008-0000-1D00-000058000000}"/>
            </a:ext>
          </a:extLst>
        </xdr:cNvPr>
        <xdr:cNvSpPr/>
      </xdr:nvSpPr>
      <xdr:spPr>
        <a:xfrm>
          <a:off x="4067175" y="514350"/>
          <a:ext cx="2743200" cy="333375"/>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SERVICE DELIVERY</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7</xdr:col>
          <xdr:colOff>0</xdr:colOff>
          <xdr:row>95</xdr:row>
          <xdr:rowOff>0</xdr:rowOff>
        </xdr:to>
        <xdr:sp macro="" textlink="">
          <xdr:nvSpPr>
            <xdr:cNvPr id="281919" name="bpmDropDownFLU1107" hidden="1">
              <a:extLst>
                <a:ext uri="{63B3BB69-23CF-44E3-9099-C40C66FF867C}">
                  <a14:compatExt spid="_x0000_s281919"/>
                </a:ext>
                <a:ext uri="{FF2B5EF4-FFF2-40B4-BE49-F238E27FC236}">
                  <a16:creationId xmlns:a16="http://schemas.microsoft.com/office/drawing/2014/main" id="{00000000-0008-0000-1D00-00003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0</xdr:rowOff>
        </xdr:from>
        <xdr:to>
          <xdr:col>7</xdr:col>
          <xdr:colOff>0</xdr:colOff>
          <xdr:row>96</xdr:row>
          <xdr:rowOff>0</xdr:rowOff>
        </xdr:to>
        <xdr:sp macro="" textlink="">
          <xdr:nvSpPr>
            <xdr:cNvPr id="281920" name="bpmDropDownFLU1108" hidden="1">
              <a:extLst>
                <a:ext uri="{63B3BB69-23CF-44E3-9099-C40C66FF867C}">
                  <a14:compatExt spid="_x0000_s281920"/>
                </a:ext>
                <a:ext uri="{FF2B5EF4-FFF2-40B4-BE49-F238E27FC236}">
                  <a16:creationId xmlns:a16="http://schemas.microsoft.com/office/drawing/2014/main" id="{00000000-0008-0000-1D00-00004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0</xdr:rowOff>
        </xdr:from>
        <xdr:to>
          <xdr:col>7</xdr:col>
          <xdr:colOff>0</xdr:colOff>
          <xdr:row>97</xdr:row>
          <xdr:rowOff>0</xdr:rowOff>
        </xdr:to>
        <xdr:sp macro="" textlink="">
          <xdr:nvSpPr>
            <xdr:cNvPr id="281921" name="bpmDropDownFLU1109" hidden="1">
              <a:extLst>
                <a:ext uri="{63B3BB69-23CF-44E3-9099-C40C66FF867C}">
                  <a14:compatExt spid="_x0000_s281921"/>
                </a:ext>
                <a:ext uri="{FF2B5EF4-FFF2-40B4-BE49-F238E27FC236}">
                  <a16:creationId xmlns:a16="http://schemas.microsoft.com/office/drawing/2014/main" id="{00000000-0008-0000-1D00-00004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0</xdr:rowOff>
        </xdr:from>
        <xdr:to>
          <xdr:col>7</xdr:col>
          <xdr:colOff>0</xdr:colOff>
          <xdr:row>98</xdr:row>
          <xdr:rowOff>0</xdr:rowOff>
        </xdr:to>
        <xdr:sp macro="" textlink="">
          <xdr:nvSpPr>
            <xdr:cNvPr id="281922" name="bpmDropDownFLU1110" hidden="1">
              <a:extLst>
                <a:ext uri="{63B3BB69-23CF-44E3-9099-C40C66FF867C}">
                  <a14:compatExt spid="_x0000_s281922"/>
                </a:ext>
                <a:ext uri="{FF2B5EF4-FFF2-40B4-BE49-F238E27FC236}">
                  <a16:creationId xmlns:a16="http://schemas.microsoft.com/office/drawing/2014/main" id="{00000000-0008-0000-1D00-00004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7</xdr:col>
          <xdr:colOff>0</xdr:colOff>
          <xdr:row>99</xdr:row>
          <xdr:rowOff>0</xdr:rowOff>
        </xdr:to>
        <xdr:sp macro="" textlink="">
          <xdr:nvSpPr>
            <xdr:cNvPr id="281923" name="bpmDropDownFLU1111" hidden="1">
              <a:extLst>
                <a:ext uri="{63B3BB69-23CF-44E3-9099-C40C66FF867C}">
                  <a14:compatExt spid="_x0000_s281923"/>
                </a:ext>
                <a:ext uri="{FF2B5EF4-FFF2-40B4-BE49-F238E27FC236}">
                  <a16:creationId xmlns:a16="http://schemas.microsoft.com/office/drawing/2014/main" id="{00000000-0008-0000-1D00-00004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281924" name="bpmDropDownFLU1112" hidden="1">
              <a:extLst>
                <a:ext uri="{63B3BB69-23CF-44E3-9099-C40C66FF867C}">
                  <a14:compatExt spid="_x0000_s281924"/>
                </a:ext>
                <a:ext uri="{FF2B5EF4-FFF2-40B4-BE49-F238E27FC236}">
                  <a16:creationId xmlns:a16="http://schemas.microsoft.com/office/drawing/2014/main" id="{00000000-0008-0000-1D00-00004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281925" name="bpmDropDownFLU1113" hidden="1">
              <a:extLst>
                <a:ext uri="{63B3BB69-23CF-44E3-9099-C40C66FF867C}">
                  <a14:compatExt spid="_x0000_s281925"/>
                </a:ext>
                <a:ext uri="{FF2B5EF4-FFF2-40B4-BE49-F238E27FC236}">
                  <a16:creationId xmlns:a16="http://schemas.microsoft.com/office/drawing/2014/main" id="{00000000-0008-0000-1D00-00004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281926" name="bpmDropDownFLU1114" hidden="1">
              <a:extLst>
                <a:ext uri="{63B3BB69-23CF-44E3-9099-C40C66FF867C}">
                  <a14:compatExt spid="_x0000_s281926"/>
                </a:ext>
                <a:ext uri="{FF2B5EF4-FFF2-40B4-BE49-F238E27FC236}">
                  <a16:creationId xmlns:a16="http://schemas.microsoft.com/office/drawing/2014/main" id="{00000000-0008-0000-1D00-00004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281928" name="bpmDropDownFLU1116" hidden="1">
              <a:extLst>
                <a:ext uri="{63B3BB69-23CF-44E3-9099-C40C66FF867C}">
                  <a14:compatExt spid="_x0000_s281928"/>
                </a:ext>
                <a:ext uri="{FF2B5EF4-FFF2-40B4-BE49-F238E27FC236}">
                  <a16:creationId xmlns:a16="http://schemas.microsoft.com/office/drawing/2014/main" id="{00000000-0008-0000-1D00-00004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281929" name="bpmDropDownFLU1117" hidden="1">
              <a:extLst>
                <a:ext uri="{63B3BB69-23CF-44E3-9099-C40C66FF867C}">
                  <a14:compatExt spid="_x0000_s281929"/>
                </a:ext>
                <a:ext uri="{FF2B5EF4-FFF2-40B4-BE49-F238E27FC236}">
                  <a16:creationId xmlns:a16="http://schemas.microsoft.com/office/drawing/2014/main" id="{00000000-0008-0000-1D00-00004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281930" name="bpmDropDownFLU1118" hidden="1">
              <a:extLst>
                <a:ext uri="{63B3BB69-23CF-44E3-9099-C40C66FF867C}">
                  <a14:compatExt spid="_x0000_s281930"/>
                </a:ext>
                <a:ext uri="{FF2B5EF4-FFF2-40B4-BE49-F238E27FC236}">
                  <a16:creationId xmlns:a16="http://schemas.microsoft.com/office/drawing/2014/main" id="{00000000-0008-0000-1D00-00004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281931" name="bpmDropDownFLU1119" hidden="1">
              <a:extLst>
                <a:ext uri="{63B3BB69-23CF-44E3-9099-C40C66FF867C}">
                  <a14:compatExt spid="_x0000_s281931"/>
                </a:ext>
                <a:ext uri="{FF2B5EF4-FFF2-40B4-BE49-F238E27FC236}">
                  <a16:creationId xmlns:a16="http://schemas.microsoft.com/office/drawing/2014/main" id="{00000000-0008-0000-1D00-00004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281932" name="bpmDropDownFLU1120" hidden="1">
              <a:extLst>
                <a:ext uri="{63B3BB69-23CF-44E3-9099-C40C66FF867C}">
                  <a14:compatExt spid="_x0000_s281932"/>
                </a:ext>
                <a:ext uri="{FF2B5EF4-FFF2-40B4-BE49-F238E27FC236}">
                  <a16:creationId xmlns:a16="http://schemas.microsoft.com/office/drawing/2014/main" id="{00000000-0008-0000-1D00-00004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7</xdr:col>
          <xdr:colOff>0</xdr:colOff>
          <xdr:row>108</xdr:row>
          <xdr:rowOff>0</xdr:rowOff>
        </xdr:to>
        <xdr:sp macro="" textlink="">
          <xdr:nvSpPr>
            <xdr:cNvPr id="281933" name="bpmDropDownFLU1121" hidden="1">
              <a:extLst>
                <a:ext uri="{63B3BB69-23CF-44E3-9099-C40C66FF867C}">
                  <a14:compatExt spid="_x0000_s281933"/>
                </a:ext>
                <a:ext uri="{FF2B5EF4-FFF2-40B4-BE49-F238E27FC236}">
                  <a16:creationId xmlns:a16="http://schemas.microsoft.com/office/drawing/2014/main" id="{00000000-0008-0000-1D00-00004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281934" name="bpmDropDownFLU1122" hidden="1">
              <a:extLst>
                <a:ext uri="{63B3BB69-23CF-44E3-9099-C40C66FF867C}">
                  <a14:compatExt spid="_x0000_s281934"/>
                </a:ext>
                <a:ext uri="{FF2B5EF4-FFF2-40B4-BE49-F238E27FC236}">
                  <a16:creationId xmlns:a16="http://schemas.microsoft.com/office/drawing/2014/main" id="{00000000-0008-0000-1D00-00004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7</xdr:col>
          <xdr:colOff>0</xdr:colOff>
          <xdr:row>178</xdr:row>
          <xdr:rowOff>0</xdr:rowOff>
        </xdr:to>
        <xdr:sp macro="" textlink="">
          <xdr:nvSpPr>
            <xdr:cNvPr id="281935" name="bpmDropDownFLU1123" hidden="1">
              <a:extLst>
                <a:ext uri="{63B3BB69-23CF-44E3-9099-C40C66FF867C}">
                  <a14:compatExt spid="_x0000_s281935"/>
                </a:ext>
                <a:ext uri="{FF2B5EF4-FFF2-40B4-BE49-F238E27FC236}">
                  <a16:creationId xmlns:a16="http://schemas.microsoft.com/office/drawing/2014/main" id="{00000000-0008-0000-1D00-00004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7</xdr:col>
          <xdr:colOff>0</xdr:colOff>
          <xdr:row>179</xdr:row>
          <xdr:rowOff>0</xdr:rowOff>
        </xdr:to>
        <xdr:sp macro="" textlink="">
          <xdr:nvSpPr>
            <xdr:cNvPr id="281936" name="bpmDropDownFLU1124" hidden="1">
              <a:extLst>
                <a:ext uri="{63B3BB69-23CF-44E3-9099-C40C66FF867C}">
                  <a14:compatExt spid="_x0000_s281936"/>
                </a:ext>
                <a:ext uri="{FF2B5EF4-FFF2-40B4-BE49-F238E27FC236}">
                  <a16:creationId xmlns:a16="http://schemas.microsoft.com/office/drawing/2014/main" id="{00000000-0008-0000-1D00-00005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179</xdr:row>
          <xdr:rowOff>0</xdr:rowOff>
        </xdr:from>
        <xdr:to>
          <xdr:col>7</xdr:col>
          <xdr:colOff>0</xdr:colOff>
          <xdr:row>180</xdr:row>
          <xdr:rowOff>0</xdr:rowOff>
        </xdr:to>
        <xdr:sp macro="" textlink="">
          <xdr:nvSpPr>
            <xdr:cNvPr id="281937" name="bpmDropDownFLU1125" hidden="1">
              <a:extLst>
                <a:ext uri="{63B3BB69-23CF-44E3-9099-C40C66FF867C}">
                  <a14:compatExt spid="_x0000_s281937"/>
                </a:ext>
                <a:ext uri="{FF2B5EF4-FFF2-40B4-BE49-F238E27FC236}">
                  <a16:creationId xmlns:a16="http://schemas.microsoft.com/office/drawing/2014/main" id="{00000000-0008-0000-1D00-00005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180</xdr:row>
          <xdr:rowOff>0</xdr:rowOff>
        </xdr:from>
        <xdr:to>
          <xdr:col>7</xdr:col>
          <xdr:colOff>0</xdr:colOff>
          <xdr:row>181</xdr:row>
          <xdr:rowOff>0</xdr:rowOff>
        </xdr:to>
        <xdr:sp macro="" textlink="">
          <xdr:nvSpPr>
            <xdr:cNvPr id="281938" name="bpmDropDownFLU1126" hidden="1">
              <a:extLst>
                <a:ext uri="{63B3BB69-23CF-44E3-9099-C40C66FF867C}">
                  <a14:compatExt spid="_x0000_s281938"/>
                </a:ext>
                <a:ext uri="{FF2B5EF4-FFF2-40B4-BE49-F238E27FC236}">
                  <a16:creationId xmlns:a16="http://schemas.microsoft.com/office/drawing/2014/main" id="{00000000-0008-0000-1D00-00005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7</xdr:col>
          <xdr:colOff>0</xdr:colOff>
          <xdr:row>182</xdr:row>
          <xdr:rowOff>0</xdr:rowOff>
        </xdr:to>
        <xdr:sp macro="" textlink="">
          <xdr:nvSpPr>
            <xdr:cNvPr id="281939" name="bpmDropDownFLU1127" hidden="1">
              <a:extLst>
                <a:ext uri="{63B3BB69-23CF-44E3-9099-C40C66FF867C}">
                  <a14:compatExt spid="_x0000_s281939"/>
                </a:ext>
                <a:ext uri="{FF2B5EF4-FFF2-40B4-BE49-F238E27FC236}">
                  <a16:creationId xmlns:a16="http://schemas.microsoft.com/office/drawing/2014/main" id="{00000000-0008-0000-1D00-00005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0</xdr:rowOff>
        </xdr:from>
        <xdr:to>
          <xdr:col>7</xdr:col>
          <xdr:colOff>0</xdr:colOff>
          <xdr:row>183</xdr:row>
          <xdr:rowOff>0</xdr:rowOff>
        </xdr:to>
        <xdr:sp macro="" textlink="">
          <xdr:nvSpPr>
            <xdr:cNvPr id="281940" name="bpmDropDownFLU1143" hidden="1">
              <a:extLst>
                <a:ext uri="{63B3BB69-23CF-44E3-9099-C40C66FF867C}">
                  <a14:compatExt spid="_x0000_s281940"/>
                </a:ext>
                <a:ext uri="{FF2B5EF4-FFF2-40B4-BE49-F238E27FC236}">
                  <a16:creationId xmlns:a16="http://schemas.microsoft.com/office/drawing/2014/main" id="{00000000-0008-0000-1D00-00005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183</xdr:row>
          <xdr:rowOff>0</xdr:rowOff>
        </xdr:from>
        <xdr:to>
          <xdr:col>7</xdr:col>
          <xdr:colOff>0</xdr:colOff>
          <xdr:row>184</xdr:row>
          <xdr:rowOff>0</xdr:rowOff>
        </xdr:to>
        <xdr:sp macro="" textlink="">
          <xdr:nvSpPr>
            <xdr:cNvPr id="281941" name="bpmDropDownFLU1144" hidden="1">
              <a:extLst>
                <a:ext uri="{63B3BB69-23CF-44E3-9099-C40C66FF867C}">
                  <a14:compatExt spid="_x0000_s281941"/>
                </a:ext>
                <a:ext uri="{FF2B5EF4-FFF2-40B4-BE49-F238E27FC236}">
                  <a16:creationId xmlns:a16="http://schemas.microsoft.com/office/drawing/2014/main" id="{00000000-0008-0000-1D00-00005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7</xdr:col>
          <xdr:colOff>0</xdr:colOff>
          <xdr:row>185</xdr:row>
          <xdr:rowOff>0</xdr:rowOff>
        </xdr:to>
        <xdr:sp macro="" textlink="">
          <xdr:nvSpPr>
            <xdr:cNvPr id="281942" name="bpmDropDownFLU1145" hidden="1">
              <a:extLst>
                <a:ext uri="{63B3BB69-23CF-44E3-9099-C40C66FF867C}">
                  <a14:compatExt spid="_x0000_s281942"/>
                </a:ext>
                <a:ext uri="{FF2B5EF4-FFF2-40B4-BE49-F238E27FC236}">
                  <a16:creationId xmlns:a16="http://schemas.microsoft.com/office/drawing/2014/main" id="{00000000-0008-0000-1D00-00005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185</xdr:row>
          <xdr:rowOff>0</xdr:rowOff>
        </xdr:from>
        <xdr:to>
          <xdr:col>7</xdr:col>
          <xdr:colOff>0</xdr:colOff>
          <xdr:row>186</xdr:row>
          <xdr:rowOff>0</xdr:rowOff>
        </xdr:to>
        <xdr:sp macro="" textlink="">
          <xdr:nvSpPr>
            <xdr:cNvPr id="281944" name="bpmDropDownFLU1147" hidden="1">
              <a:extLst>
                <a:ext uri="{63B3BB69-23CF-44E3-9099-C40C66FF867C}">
                  <a14:compatExt spid="_x0000_s281944"/>
                </a:ext>
                <a:ext uri="{FF2B5EF4-FFF2-40B4-BE49-F238E27FC236}">
                  <a16:creationId xmlns:a16="http://schemas.microsoft.com/office/drawing/2014/main" id="{00000000-0008-0000-1D00-00005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0</xdr:rowOff>
        </xdr:from>
        <xdr:to>
          <xdr:col>7</xdr:col>
          <xdr:colOff>0</xdr:colOff>
          <xdr:row>187</xdr:row>
          <xdr:rowOff>0</xdr:rowOff>
        </xdr:to>
        <xdr:sp macro="" textlink="">
          <xdr:nvSpPr>
            <xdr:cNvPr id="281945" name="bpmDropDownFLU1148" hidden="1">
              <a:extLst>
                <a:ext uri="{63B3BB69-23CF-44E3-9099-C40C66FF867C}">
                  <a14:compatExt spid="_x0000_s281945"/>
                </a:ext>
                <a:ext uri="{FF2B5EF4-FFF2-40B4-BE49-F238E27FC236}">
                  <a16:creationId xmlns:a16="http://schemas.microsoft.com/office/drawing/2014/main" id="{00000000-0008-0000-1D00-00005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7</xdr:col>
          <xdr:colOff>0</xdr:colOff>
          <xdr:row>188</xdr:row>
          <xdr:rowOff>0</xdr:rowOff>
        </xdr:to>
        <xdr:sp macro="" textlink="">
          <xdr:nvSpPr>
            <xdr:cNvPr id="281946" name="bpmDropDownFLU1149" hidden="1">
              <a:extLst>
                <a:ext uri="{63B3BB69-23CF-44E3-9099-C40C66FF867C}">
                  <a14:compatExt spid="_x0000_s281946"/>
                </a:ext>
                <a:ext uri="{FF2B5EF4-FFF2-40B4-BE49-F238E27FC236}">
                  <a16:creationId xmlns:a16="http://schemas.microsoft.com/office/drawing/2014/main" id="{00000000-0008-0000-1D00-00005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0</xdr:rowOff>
        </xdr:from>
        <xdr:to>
          <xdr:col>7</xdr:col>
          <xdr:colOff>0</xdr:colOff>
          <xdr:row>189</xdr:row>
          <xdr:rowOff>0</xdr:rowOff>
        </xdr:to>
        <xdr:sp macro="" textlink="">
          <xdr:nvSpPr>
            <xdr:cNvPr id="281947" name="bpmDropDownFLU1150" hidden="1">
              <a:extLst>
                <a:ext uri="{63B3BB69-23CF-44E3-9099-C40C66FF867C}">
                  <a14:compatExt spid="_x0000_s281947"/>
                </a:ext>
                <a:ext uri="{FF2B5EF4-FFF2-40B4-BE49-F238E27FC236}">
                  <a16:creationId xmlns:a16="http://schemas.microsoft.com/office/drawing/2014/main" id="{00000000-0008-0000-1D00-00005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0</xdr:rowOff>
        </xdr:from>
        <xdr:to>
          <xdr:col>7</xdr:col>
          <xdr:colOff>0</xdr:colOff>
          <xdr:row>190</xdr:row>
          <xdr:rowOff>0</xdr:rowOff>
        </xdr:to>
        <xdr:sp macro="" textlink="">
          <xdr:nvSpPr>
            <xdr:cNvPr id="281948" name="bpmDropDownFLU1151" hidden="1">
              <a:extLst>
                <a:ext uri="{63B3BB69-23CF-44E3-9099-C40C66FF867C}">
                  <a14:compatExt spid="_x0000_s281948"/>
                </a:ext>
                <a:ext uri="{FF2B5EF4-FFF2-40B4-BE49-F238E27FC236}">
                  <a16:creationId xmlns:a16="http://schemas.microsoft.com/office/drawing/2014/main" id="{00000000-0008-0000-1D00-00005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7</xdr:col>
          <xdr:colOff>0</xdr:colOff>
          <xdr:row>191</xdr:row>
          <xdr:rowOff>0</xdr:rowOff>
        </xdr:to>
        <xdr:sp macro="" textlink="">
          <xdr:nvSpPr>
            <xdr:cNvPr id="281949" name="bpmDropDownFLU1152" hidden="1">
              <a:extLst>
                <a:ext uri="{63B3BB69-23CF-44E3-9099-C40C66FF867C}">
                  <a14:compatExt spid="_x0000_s281949"/>
                </a:ext>
                <a:ext uri="{FF2B5EF4-FFF2-40B4-BE49-F238E27FC236}">
                  <a16:creationId xmlns:a16="http://schemas.microsoft.com/office/drawing/2014/main" id="{00000000-0008-0000-1D00-00005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191</xdr:row>
          <xdr:rowOff>0</xdr:rowOff>
        </xdr:from>
        <xdr:to>
          <xdr:col>7</xdr:col>
          <xdr:colOff>0</xdr:colOff>
          <xdr:row>192</xdr:row>
          <xdr:rowOff>0</xdr:rowOff>
        </xdr:to>
        <xdr:sp macro="" textlink="">
          <xdr:nvSpPr>
            <xdr:cNvPr id="281950" name="bpmDropDownFLU1153" hidden="1">
              <a:extLst>
                <a:ext uri="{63B3BB69-23CF-44E3-9099-C40C66FF867C}">
                  <a14:compatExt spid="_x0000_s281950"/>
                </a:ext>
                <a:ext uri="{FF2B5EF4-FFF2-40B4-BE49-F238E27FC236}">
                  <a16:creationId xmlns:a16="http://schemas.microsoft.com/office/drawing/2014/main" id="{00000000-0008-0000-1D00-00005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177</xdr:row>
          <xdr:rowOff>0</xdr:rowOff>
        </xdr:from>
        <xdr:to>
          <xdr:col>9</xdr:col>
          <xdr:colOff>0</xdr:colOff>
          <xdr:row>178</xdr:row>
          <xdr:rowOff>0</xdr:rowOff>
        </xdr:to>
        <xdr:sp macro="" textlink="">
          <xdr:nvSpPr>
            <xdr:cNvPr id="281951" name="bpmDropDownFLU1154" hidden="1">
              <a:extLst>
                <a:ext uri="{63B3BB69-23CF-44E3-9099-C40C66FF867C}">
                  <a14:compatExt spid="_x0000_s281951"/>
                </a:ext>
                <a:ext uri="{FF2B5EF4-FFF2-40B4-BE49-F238E27FC236}">
                  <a16:creationId xmlns:a16="http://schemas.microsoft.com/office/drawing/2014/main" id="{00000000-0008-0000-1D00-00005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178</xdr:row>
          <xdr:rowOff>0</xdr:rowOff>
        </xdr:from>
        <xdr:to>
          <xdr:col>9</xdr:col>
          <xdr:colOff>0</xdr:colOff>
          <xdr:row>179</xdr:row>
          <xdr:rowOff>0</xdr:rowOff>
        </xdr:to>
        <xdr:sp macro="" textlink="">
          <xdr:nvSpPr>
            <xdr:cNvPr id="281952" name="bpmDropDownFLU1155" hidden="1">
              <a:extLst>
                <a:ext uri="{63B3BB69-23CF-44E3-9099-C40C66FF867C}">
                  <a14:compatExt spid="_x0000_s281952"/>
                </a:ext>
                <a:ext uri="{FF2B5EF4-FFF2-40B4-BE49-F238E27FC236}">
                  <a16:creationId xmlns:a16="http://schemas.microsoft.com/office/drawing/2014/main" id="{00000000-0008-0000-1D00-00006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179</xdr:row>
          <xdr:rowOff>0</xdr:rowOff>
        </xdr:from>
        <xdr:to>
          <xdr:col>9</xdr:col>
          <xdr:colOff>0</xdr:colOff>
          <xdr:row>180</xdr:row>
          <xdr:rowOff>0</xdr:rowOff>
        </xdr:to>
        <xdr:sp macro="" textlink="">
          <xdr:nvSpPr>
            <xdr:cNvPr id="281953" name="bpmDropDownFLU1156" hidden="1">
              <a:extLst>
                <a:ext uri="{63B3BB69-23CF-44E3-9099-C40C66FF867C}">
                  <a14:compatExt spid="_x0000_s281953"/>
                </a:ext>
                <a:ext uri="{FF2B5EF4-FFF2-40B4-BE49-F238E27FC236}">
                  <a16:creationId xmlns:a16="http://schemas.microsoft.com/office/drawing/2014/main" id="{00000000-0008-0000-1D00-00006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180</xdr:row>
          <xdr:rowOff>0</xdr:rowOff>
        </xdr:from>
        <xdr:to>
          <xdr:col>9</xdr:col>
          <xdr:colOff>0</xdr:colOff>
          <xdr:row>181</xdr:row>
          <xdr:rowOff>0</xdr:rowOff>
        </xdr:to>
        <xdr:sp macro="" textlink="">
          <xdr:nvSpPr>
            <xdr:cNvPr id="281954" name="bpmDropDownFLU1157" hidden="1">
              <a:extLst>
                <a:ext uri="{63B3BB69-23CF-44E3-9099-C40C66FF867C}">
                  <a14:compatExt spid="_x0000_s281954"/>
                </a:ext>
                <a:ext uri="{FF2B5EF4-FFF2-40B4-BE49-F238E27FC236}">
                  <a16:creationId xmlns:a16="http://schemas.microsoft.com/office/drawing/2014/main" id="{00000000-0008-0000-1D00-00006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9</xdr:col>
          <xdr:colOff>0</xdr:colOff>
          <xdr:row>182</xdr:row>
          <xdr:rowOff>0</xdr:rowOff>
        </xdr:to>
        <xdr:sp macro="" textlink="">
          <xdr:nvSpPr>
            <xdr:cNvPr id="281955" name="bpmDropDownFLU1158" hidden="1">
              <a:extLst>
                <a:ext uri="{63B3BB69-23CF-44E3-9099-C40C66FF867C}">
                  <a14:compatExt spid="_x0000_s281955"/>
                </a:ext>
                <a:ext uri="{FF2B5EF4-FFF2-40B4-BE49-F238E27FC236}">
                  <a16:creationId xmlns:a16="http://schemas.microsoft.com/office/drawing/2014/main" id="{00000000-0008-0000-1D00-00006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182</xdr:row>
          <xdr:rowOff>0</xdr:rowOff>
        </xdr:from>
        <xdr:to>
          <xdr:col>9</xdr:col>
          <xdr:colOff>0</xdr:colOff>
          <xdr:row>183</xdr:row>
          <xdr:rowOff>0</xdr:rowOff>
        </xdr:to>
        <xdr:sp macro="" textlink="">
          <xdr:nvSpPr>
            <xdr:cNvPr id="281956" name="bpmDropDownFLU1159" hidden="1">
              <a:extLst>
                <a:ext uri="{63B3BB69-23CF-44E3-9099-C40C66FF867C}">
                  <a14:compatExt spid="_x0000_s281956"/>
                </a:ext>
                <a:ext uri="{FF2B5EF4-FFF2-40B4-BE49-F238E27FC236}">
                  <a16:creationId xmlns:a16="http://schemas.microsoft.com/office/drawing/2014/main" id="{00000000-0008-0000-1D00-00006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183</xdr:row>
          <xdr:rowOff>0</xdr:rowOff>
        </xdr:from>
        <xdr:to>
          <xdr:col>9</xdr:col>
          <xdr:colOff>0</xdr:colOff>
          <xdr:row>184</xdr:row>
          <xdr:rowOff>0</xdr:rowOff>
        </xdr:to>
        <xdr:sp macro="" textlink="">
          <xdr:nvSpPr>
            <xdr:cNvPr id="281957" name="bpmDropDownFLU1160" hidden="1">
              <a:extLst>
                <a:ext uri="{63B3BB69-23CF-44E3-9099-C40C66FF867C}">
                  <a14:compatExt spid="_x0000_s281957"/>
                </a:ext>
                <a:ext uri="{FF2B5EF4-FFF2-40B4-BE49-F238E27FC236}">
                  <a16:creationId xmlns:a16="http://schemas.microsoft.com/office/drawing/2014/main" id="{00000000-0008-0000-1D00-00006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9</xdr:col>
          <xdr:colOff>0</xdr:colOff>
          <xdr:row>185</xdr:row>
          <xdr:rowOff>0</xdr:rowOff>
        </xdr:to>
        <xdr:sp macro="" textlink="">
          <xdr:nvSpPr>
            <xdr:cNvPr id="281958" name="bpmDropDownFLU1161" hidden="1">
              <a:extLst>
                <a:ext uri="{63B3BB69-23CF-44E3-9099-C40C66FF867C}">
                  <a14:compatExt spid="_x0000_s281958"/>
                </a:ext>
                <a:ext uri="{FF2B5EF4-FFF2-40B4-BE49-F238E27FC236}">
                  <a16:creationId xmlns:a16="http://schemas.microsoft.com/office/drawing/2014/main" id="{00000000-0008-0000-1D00-00006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185</xdr:row>
          <xdr:rowOff>0</xdr:rowOff>
        </xdr:from>
        <xdr:to>
          <xdr:col>9</xdr:col>
          <xdr:colOff>0</xdr:colOff>
          <xdr:row>186</xdr:row>
          <xdr:rowOff>0</xdr:rowOff>
        </xdr:to>
        <xdr:sp macro="" textlink="">
          <xdr:nvSpPr>
            <xdr:cNvPr id="281960" name="bpmDropDownFLU1163" hidden="1">
              <a:extLst>
                <a:ext uri="{63B3BB69-23CF-44E3-9099-C40C66FF867C}">
                  <a14:compatExt spid="_x0000_s281960"/>
                </a:ext>
                <a:ext uri="{FF2B5EF4-FFF2-40B4-BE49-F238E27FC236}">
                  <a16:creationId xmlns:a16="http://schemas.microsoft.com/office/drawing/2014/main" id="{00000000-0008-0000-1D00-00006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186</xdr:row>
          <xdr:rowOff>0</xdr:rowOff>
        </xdr:from>
        <xdr:to>
          <xdr:col>9</xdr:col>
          <xdr:colOff>0</xdr:colOff>
          <xdr:row>187</xdr:row>
          <xdr:rowOff>0</xdr:rowOff>
        </xdr:to>
        <xdr:sp macro="" textlink="">
          <xdr:nvSpPr>
            <xdr:cNvPr id="281961" name="bpmDropDownFLU1164" hidden="1">
              <a:extLst>
                <a:ext uri="{63B3BB69-23CF-44E3-9099-C40C66FF867C}">
                  <a14:compatExt spid="_x0000_s281961"/>
                </a:ext>
                <a:ext uri="{FF2B5EF4-FFF2-40B4-BE49-F238E27FC236}">
                  <a16:creationId xmlns:a16="http://schemas.microsoft.com/office/drawing/2014/main" id="{00000000-0008-0000-1D00-00006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9</xdr:col>
          <xdr:colOff>0</xdr:colOff>
          <xdr:row>188</xdr:row>
          <xdr:rowOff>0</xdr:rowOff>
        </xdr:to>
        <xdr:sp macro="" textlink="">
          <xdr:nvSpPr>
            <xdr:cNvPr id="281962" name="bpmDropDownFLU1165" hidden="1">
              <a:extLst>
                <a:ext uri="{63B3BB69-23CF-44E3-9099-C40C66FF867C}">
                  <a14:compatExt spid="_x0000_s281962"/>
                </a:ext>
                <a:ext uri="{FF2B5EF4-FFF2-40B4-BE49-F238E27FC236}">
                  <a16:creationId xmlns:a16="http://schemas.microsoft.com/office/drawing/2014/main" id="{00000000-0008-0000-1D00-00006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188</xdr:row>
          <xdr:rowOff>0</xdr:rowOff>
        </xdr:from>
        <xdr:to>
          <xdr:col>9</xdr:col>
          <xdr:colOff>0</xdr:colOff>
          <xdr:row>189</xdr:row>
          <xdr:rowOff>0</xdr:rowOff>
        </xdr:to>
        <xdr:sp macro="" textlink="">
          <xdr:nvSpPr>
            <xdr:cNvPr id="281963" name="bpmDropDownFLU1166" hidden="1">
              <a:extLst>
                <a:ext uri="{63B3BB69-23CF-44E3-9099-C40C66FF867C}">
                  <a14:compatExt spid="_x0000_s281963"/>
                </a:ext>
                <a:ext uri="{FF2B5EF4-FFF2-40B4-BE49-F238E27FC236}">
                  <a16:creationId xmlns:a16="http://schemas.microsoft.com/office/drawing/2014/main" id="{00000000-0008-0000-1D00-00006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189</xdr:row>
          <xdr:rowOff>0</xdr:rowOff>
        </xdr:from>
        <xdr:to>
          <xdr:col>9</xdr:col>
          <xdr:colOff>0</xdr:colOff>
          <xdr:row>190</xdr:row>
          <xdr:rowOff>0</xdr:rowOff>
        </xdr:to>
        <xdr:sp macro="" textlink="">
          <xdr:nvSpPr>
            <xdr:cNvPr id="281964" name="bpmDropDownFLU1167" hidden="1">
              <a:extLst>
                <a:ext uri="{63B3BB69-23CF-44E3-9099-C40C66FF867C}">
                  <a14:compatExt spid="_x0000_s281964"/>
                </a:ext>
                <a:ext uri="{FF2B5EF4-FFF2-40B4-BE49-F238E27FC236}">
                  <a16:creationId xmlns:a16="http://schemas.microsoft.com/office/drawing/2014/main" id="{00000000-0008-0000-1D00-00006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9</xdr:col>
          <xdr:colOff>0</xdr:colOff>
          <xdr:row>191</xdr:row>
          <xdr:rowOff>0</xdr:rowOff>
        </xdr:to>
        <xdr:sp macro="" textlink="">
          <xdr:nvSpPr>
            <xdr:cNvPr id="281965" name="bpmDropDownFLU1168" hidden="1">
              <a:extLst>
                <a:ext uri="{63B3BB69-23CF-44E3-9099-C40C66FF867C}">
                  <a14:compatExt spid="_x0000_s281965"/>
                </a:ext>
                <a:ext uri="{FF2B5EF4-FFF2-40B4-BE49-F238E27FC236}">
                  <a16:creationId xmlns:a16="http://schemas.microsoft.com/office/drawing/2014/main" id="{00000000-0008-0000-1D00-00006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191</xdr:row>
          <xdr:rowOff>0</xdr:rowOff>
        </xdr:from>
        <xdr:to>
          <xdr:col>9</xdr:col>
          <xdr:colOff>0</xdr:colOff>
          <xdr:row>192</xdr:row>
          <xdr:rowOff>0</xdr:rowOff>
        </xdr:to>
        <xdr:sp macro="" textlink="">
          <xdr:nvSpPr>
            <xdr:cNvPr id="281966" name="bpmDropDownFLU1169" hidden="1">
              <a:extLst>
                <a:ext uri="{63B3BB69-23CF-44E3-9099-C40C66FF867C}">
                  <a14:compatExt spid="_x0000_s281966"/>
                </a:ext>
                <a:ext uri="{FF2B5EF4-FFF2-40B4-BE49-F238E27FC236}">
                  <a16:creationId xmlns:a16="http://schemas.microsoft.com/office/drawing/2014/main" id="{00000000-0008-0000-1D00-00006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9</xdr:col>
          <xdr:colOff>0</xdr:colOff>
          <xdr:row>95</xdr:row>
          <xdr:rowOff>0</xdr:rowOff>
        </xdr:to>
        <xdr:sp macro="" textlink="">
          <xdr:nvSpPr>
            <xdr:cNvPr id="281967" name="bpmDropDownFLU1170" hidden="1">
              <a:extLst>
                <a:ext uri="{63B3BB69-23CF-44E3-9099-C40C66FF867C}">
                  <a14:compatExt spid="_x0000_s281967"/>
                </a:ext>
                <a:ext uri="{FF2B5EF4-FFF2-40B4-BE49-F238E27FC236}">
                  <a16:creationId xmlns:a16="http://schemas.microsoft.com/office/drawing/2014/main" id="{00000000-0008-0000-1D00-00006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0</xdr:rowOff>
        </xdr:to>
        <xdr:sp macro="" textlink="">
          <xdr:nvSpPr>
            <xdr:cNvPr id="281968" name="bpmDropDownFLU1171" hidden="1">
              <a:extLst>
                <a:ext uri="{63B3BB69-23CF-44E3-9099-C40C66FF867C}">
                  <a14:compatExt spid="_x0000_s281968"/>
                </a:ext>
                <a:ext uri="{FF2B5EF4-FFF2-40B4-BE49-F238E27FC236}">
                  <a16:creationId xmlns:a16="http://schemas.microsoft.com/office/drawing/2014/main" id="{00000000-0008-0000-1D00-00007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0</xdr:colOff>
          <xdr:row>97</xdr:row>
          <xdr:rowOff>0</xdr:rowOff>
        </xdr:to>
        <xdr:sp macro="" textlink="">
          <xdr:nvSpPr>
            <xdr:cNvPr id="281969" name="bpmDropDownFLU1172" hidden="1">
              <a:extLst>
                <a:ext uri="{63B3BB69-23CF-44E3-9099-C40C66FF867C}">
                  <a14:compatExt spid="_x0000_s281969"/>
                </a:ext>
                <a:ext uri="{FF2B5EF4-FFF2-40B4-BE49-F238E27FC236}">
                  <a16:creationId xmlns:a16="http://schemas.microsoft.com/office/drawing/2014/main" id="{00000000-0008-0000-1D00-00007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0</xdr:colOff>
          <xdr:row>98</xdr:row>
          <xdr:rowOff>0</xdr:rowOff>
        </xdr:to>
        <xdr:sp macro="" textlink="">
          <xdr:nvSpPr>
            <xdr:cNvPr id="281970" name="bpmDropDownFLU1193" hidden="1">
              <a:extLst>
                <a:ext uri="{63B3BB69-23CF-44E3-9099-C40C66FF867C}">
                  <a14:compatExt spid="_x0000_s281970"/>
                </a:ext>
                <a:ext uri="{FF2B5EF4-FFF2-40B4-BE49-F238E27FC236}">
                  <a16:creationId xmlns:a16="http://schemas.microsoft.com/office/drawing/2014/main" id="{00000000-0008-0000-1D00-00007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9</xdr:col>
          <xdr:colOff>0</xdr:colOff>
          <xdr:row>99</xdr:row>
          <xdr:rowOff>0</xdr:rowOff>
        </xdr:to>
        <xdr:sp macro="" textlink="">
          <xdr:nvSpPr>
            <xdr:cNvPr id="281971" name="bpmDropDownFLU1194" hidden="1">
              <a:extLst>
                <a:ext uri="{63B3BB69-23CF-44E3-9099-C40C66FF867C}">
                  <a14:compatExt spid="_x0000_s281971"/>
                </a:ext>
                <a:ext uri="{FF2B5EF4-FFF2-40B4-BE49-F238E27FC236}">
                  <a16:creationId xmlns:a16="http://schemas.microsoft.com/office/drawing/2014/main" id="{00000000-0008-0000-1D00-00007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9</xdr:col>
          <xdr:colOff>0</xdr:colOff>
          <xdr:row>100</xdr:row>
          <xdr:rowOff>0</xdr:rowOff>
        </xdr:to>
        <xdr:sp macro="" textlink="">
          <xdr:nvSpPr>
            <xdr:cNvPr id="281972" name="bpmDropDownFLU1195" hidden="1">
              <a:extLst>
                <a:ext uri="{63B3BB69-23CF-44E3-9099-C40C66FF867C}">
                  <a14:compatExt spid="_x0000_s281972"/>
                </a:ext>
                <a:ext uri="{FF2B5EF4-FFF2-40B4-BE49-F238E27FC236}">
                  <a16:creationId xmlns:a16="http://schemas.microsoft.com/office/drawing/2014/main" id="{00000000-0008-0000-1D00-00007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9</xdr:col>
          <xdr:colOff>0</xdr:colOff>
          <xdr:row>101</xdr:row>
          <xdr:rowOff>0</xdr:rowOff>
        </xdr:to>
        <xdr:sp macro="" textlink="">
          <xdr:nvSpPr>
            <xdr:cNvPr id="281973" name="bpmDropDownFLU1196" hidden="1">
              <a:extLst>
                <a:ext uri="{63B3BB69-23CF-44E3-9099-C40C66FF867C}">
                  <a14:compatExt spid="_x0000_s281973"/>
                </a:ext>
                <a:ext uri="{FF2B5EF4-FFF2-40B4-BE49-F238E27FC236}">
                  <a16:creationId xmlns:a16="http://schemas.microsoft.com/office/drawing/2014/main" id="{00000000-0008-0000-1D00-00007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81974" name="bpmDropDownFLU1197" hidden="1">
              <a:extLst>
                <a:ext uri="{63B3BB69-23CF-44E3-9099-C40C66FF867C}">
                  <a14:compatExt spid="_x0000_s281974"/>
                </a:ext>
                <a:ext uri="{FF2B5EF4-FFF2-40B4-BE49-F238E27FC236}">
                  <a16:creationId xmlns:a16="http://schemas.microsoft.com/office/drawing/2014/main" id="{00000000-0008-0000-1D00-00007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81976" name="bpmDropDownFLU1199" hidden="1">
              <a:extLst>
                <a:ext uri="{63B3BB69-23CF-44E3-9099-C40C66FF867C}">
                  <a14:compatExt spid="_x0000_s281976"/>
                </a:ext>
                <a:ext uri="{FF2B5EF4-FFF2-40B4-BE49-F238E27FC236}">
                  <a16:creationId xmlns:a16="http://schemas.microsoft.com/office/drawing/2014/main" id="{00000000-0008-0000-1D00-00007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81977" name="bpmDropDownFLU1200" hidden="1">
              <a:extLst>
                <a:ext uri="{63B3BB69-23CF-44E3-9099-C40C66FF867C}">
                  <a14:compatExt spid="_x0000_s281977"/>
                </a:ext>
                <a:ext uri="{FF2B5EF4-FFF2-40B4-BE49-F238E27FC236}">
                  <a16:creationId xmlns:a16="http://schemas.microsoft.com/office/drawing/2014/main" id="{00000000-0008-0000-1D00-00007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0</xdr:rowOff>
        </xdr:to>
        <xdr:sp macro="" textlink="">
          <xdr:nvSpPr>
            <xdr:cNvPr id="281978" name="bpmDropDownFLU1201" hidden="1">
              <a:extLst>
                <a:ext uri="{63B3BB69-23CF-44E3-9099-C40C66FF867C}">
                  <a14:compatExt spid="_x0000_s281978"/>
                </a:ext>
                <a:ext uri="{FF2B5EF4-FFF2-40B4-BE49-F238E27FC236}">
                  <a16:creationId xmlns:a16="http://schemas.microsoft.com/office/drawing/2014/main" id="{00000000-0008-0000-1D00-00007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281979" name="bpmDropDownFLU1202" hidden="1">
              <a:extLst>
                <a:ext uri="{63B3BB69-23CF-44E3-9099-C40C66FF867C}">
                  <a14:compatExt spid="_x0000_s281979"/>
                </a:ext>
                <a:ext uri="{FF2B5EF4-FFF2-40B4-BE49-F238E27FC236}">
                  <a16:creationId xmlns:a16="http://schemas.microsoft.com/office/drawing/2014/main" id="{00000000-0008-0000-1D00-00007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281980" name="bpmDropDownFLU1203" hidden="1">
              <a:extLst>
                <a:ext uri="{63B3BB69-23CF-44E3-9099-C40C66FF867C}">
                  <a14:compatExt spid="_x0000_s281980"/>
                </a:ext>
                <a:ext uri="{FF2B5EF4-FFF2-40B4-BE49-F238E27FC236}">
                  <a16:creationId xmlns:a16="http://schemas.microsoft.com/office/drawing/2014/main" id="{00000000-0008-0000-1D00-00007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0</xdr:rowOff>
        </xdr:to>
        <xdr:sp macro="" textlink="">
          <xdr:nvSpPr>
            <xdr:cNvPr id="281981" name="bpmDropDownFLU1204" hidden="1">
              <a:extLst>
                <a:ext uri="{63B3BB69-23CF-44E3-9099-C40C66FF867C}">
                  <a14:compatExt spid="_x0000_s281981"/>
                </a:ext>
                <a:ext uri="{FF2B5EF4-FFF2-40B4-BE49-F238E27FC236}">
                  <a16:creationId xmlns:a16="http://schemas.microsoft.com/office/drawing/2014/main" id="{00000000-0008-0000-1D00-00007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9</xdr:col>
          <xdr:colOff>0</xdr:colOff>
          <xdr:row>109</xdr:row>
          <xdr:rowOff>0</xdr:rowOff>
        </xdr:to>
        <xdr:sp macro="" textlink="">
          <xdr:nvSpPr>
            <xdr:cNvPr id="281982" name="bpmDropDownFLU1205" hidden="1">
              <a:extLst>
                <a:ext uri="{63B3BB69-23CF-44E3-9099-C40C66FF867C}">
                  <a14:compatExt spid="_x0000_s281982"/>
                </a:ext>
                <a:ext uri="{FF2B5EF4-FFF2-40B4-BE49-F238E27FC236}">
                  <a16:creationId xmlns:a16="http://schemas.microsoft.com/office/drawing/2014/main" id="{00000000-0008-0000-1D00-00007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281983" name="bpmDropDownFLU1206" hidden="1">
              <a:extLst>
                <a:ext uri="{63B3BB69-23CF-44E3-9099-C40C66FF867C}">
                  <a14:compatExt spid="_x0000_s281983"/>
                </a:ext>
                <a:ext uri="{FF2B5EF4-FFF2-40B4-BE49-F238E27FC236}">
                  <a16:creationId xmlns:a16="http://schemas.microsoft.com/office/drawing/2014/main" id="{00000000-0008-0000-1D00-00007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281984" name="bpmDropDownFLU1207" hidden="1">
              <a:extLst>
                <a:ext uri="{63B3BB69-23CF-44E3-9099-C40C66FF867C}">
                  <a14:compatExt spid="_x0000_s281984"/>
                </a:ext>
                <a:ext uri="{FF2B5EF4-FFF2-40B4-BE49-F238E27FC236}">
                  <a16:creationId xmlns:a16="http://schemas.microsoft.com/office/drawing/2014/main" id="{00000000-0008-0000-1D00-00008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281985" name="bpmDropDownFLU1208" hidden="1">
              <a:extLst>
                <a:ext uri="{63B3BB69-23CF-44E3-9099-C40C66FF867C}">
                  <a14:compatExt spid="_x0000_s281985"/>
                </a:ext>
                <a:ext uri="{FF2B5EF4-FFF2-40B4-BE49-F238E27FC236}">
                  <a16:creationId xmlns:a16="http://schemas.microsoft.com/office/drawing/2014/main" id="{00000000-0008-0000-1D00-00008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7</xdr:col>
          <xdr:colOff>0</xdr:colOff>
          <xdr:row>117</xdr:row>
          <xdr:rowOff>0</xdr:rowOff>
        </xdr:to>
        <xdr:sp macro="" textlink="">
          <xdr:nvSpPr>
            <xdr:cNvPr id="281986" name="bpmDropDownFLU1209" hidden="1">
              <a:extLst>
                <a:ext uri="{63B3BB69-23CF-44E3-9099-C40C66FF867C}">
                  <a14:compatExt spid="_x0000_s281986"/>
                </a:ext>
                <a:ext uri="{FF2B5EF4-FFF2-40B4-BE49-F238E27FC236}">
                  <a16:creationId xmlns:a16="http://schemas.microsoft.com/office/drawing/2014/main" id="{00000000-0008-0000-1D00-00008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7</xdr:col>
          <xdr:colOff>0</xdr:colOff>
          <xdr:row>118</xdr:row>
          <xdr:rowOff>0</xdr:rowOff>
        </xdr:to>
        <xdr:sp macro="" textlink="">
          <xdr:nvSpPr>
            <xdr:cNvPr id="281987" name="bpmDropDownFLU1210" hidden="1">
              <a:extLst>
                <a:ext uri="{63B3BB69-23CF-44E3-9099-C40C66FF867C}">
                  <a14:compatExt spid="_x0000_s281987"/>
                </a:ext>
                <a:ext uri="{FF2B5EF4-FFF2-40B4-BE49-F238E27FC236}">
                  <a16:creationId xmlns:a16="http://schemas.microsoft.com/office/drawing/2014/main" id="{00000000-0008-0000-1D00-00008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7</xdr:col>
          <xdr:colOff>0</xdr:colOff>
          <xdr:row>119</xdr:row>
          <xdr:rowOff>0</xdr:rowOff>
        </xdr:to>
        <xdr:sp macro="" textlink="">
          <xdr:nvSpPr>
            <xdr:cNvPr id="281988" name="bpmDropDownFLU1211" hidden="1">
              <a:extLst>
                <a:ext uri="{63B3BB69-23CF-44E3-9099-C40C66FF867C}">
                  <a14:compatExt spid="_x0000_s281988"/>
                </a:ext>
                <a:ext uri="{FF2B5EF4-FFF2-40B4-BE49-F238E27FC236}">
                  <a16:creationId xmlns:a16="http://schemas.microsoft.com/office/drawing/2014/main" id="{00000000-0008-0000-1D00-00008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0</xdr:rowOff>
        </xdr:from>
        <xdr:to>
          <xdr:col>7</xdr:col>
          <xdr:colOff>0</xdr:colOff>
          <xdr:row>120</xdr:row>
          <xdr:rowOff>0</xdr:rowOff>
        </xdr:to>
        <xdr:sp macro="" textlink="">
          <xdr:nvSpPr>
            <xdr:cNvPr id="281989" name="bpmDropDownFLU1212" hidden="1">
              <a:extLst>
                <a:ext uri="{63B3BB69-23CF-44E3-9099-C40C66FF867C}">
                  <a14:compatExt spid="_x0000_s281989"/>
                </a:ext>
                <a:ext uri="{FF2B5EF4-FFF2-40B4-BE49-F238E27FC236}">
                  <a16:creationId xmlns:a16="http://schemas.microsoft.com/office/drawing/2014/main" id="{00000000-0008-0000-1D00-00008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0</xdr:rowOff>
        </xdr:from>
        <xdr:to>
          <xdr:col>7</xdr:col>
          <xdr:colOff>0</xdr:colOff>
          <xdr:row>121</xdr:row>
          <xdr:rowOff>0</xdr:rowOff>
        </xdr:to>
        <xdr:sp macro="" textlink="">
          <xdr:nvSpPr>
            <xdr:cNvPr id="281990" name="bpmDropDownFLU1218" hidden="1">
              <a:extLst>
                <a:ext uri="{63B3BB69-23CF-44E3-9099-C40C66FF867C}">
                  <a14:compatExt spid="_x0000_s281990"/>
                </a:ext>
                <a:ext uri="{FF2B5EF4-FFF2-40B4-BE49-F238E27FC236}">
                  <a16:creationId xmlns:a16="http://schemas.microsoft.com/office/drawing/2014/main" id="{00000000-0008-0000-1D00-00008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7</xdr:col>
          <xdr:colOff>0</xdr:colOff>
          <xdr:row>122</xdr:row>
          <xdr:rowOff>0</xdr:rowOff>
        </xdr:to>
        <xdr:sp macro="" textlink="">
          <xdr:nvSpPr>
            <xdr:cNvPr id="281992" name="bpmDropDownFLU1220" hidden="1">
              <a:extLst>
                <a:ext uri="{63B3BB69-23CF-44E3-9099-C40C66FF867C}">
                  <a14:compatExt spid="_x0000_s281992"/>
                </a:ext>
                <a:ext uri="{FF2B5EF4-FFF2-40B4-BE49-F238E27FC236}">
                  <a16:creationId xmlns:a16="http://schemas.microsoft.com/office/drawing/2014/main" id="{00000000-0008-0000-1D00-00008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0</xdr:rowOff>
        </xdr:from>
        <xdr:to>
          <xdr:col>7</xdr:col>
          <xdr:colOff>0</xdr:colOff>
          <xdr:row>123</xdr:row>
          <xdr:rowOff>0</xdr:rowOff>
        </xdr:to>
        <xdr:sp macro="" textlink="">
          <xdr:nvSpPr>
            <xdr:cNvPr id="281993" name="bpmDropDownFLU1221" hidden="1">
              <a:extLst>
                <a:ext uri="{63B3BB69-23CF-44E3-9099-C40C66FF867C}">
                  <a14:compatExt spid="_x0000_s281993"/>
                </a:ext>
                <a:ext uri="{FF2B5EF4-FFF2-40B4-BE49-F238E27FC236}">
                  <a16:creationId xmlns:a16="http://schemas.microsoft.com/office/drawing/2014/main" id="{00000000-0008-0000-1D00-00008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7</xdr:col>
          <xdr:colOff>0</xdr:colOff>
          <xdr:row>124</xdr:row>
          <xdr:rowOff>0</xdr:rowOff>
        </xdr:to>
        <xdr:sp macro="" textlink="">
          <xdr:nvSpPr>
            <xdr:cNvPr id="281994" name="bpmDropDownFLU1222" hidden="1">
              <a:extLst>
                <a:ext uri="{63B3BB69-23CF-44E3-9099-C40C66FF867C}">
                  <a14:compatExt spid="_x0000_s281994"/>
                </a:ext>
                <a:ext uri="{FF2B5EF4-FFF2-40B4-BE49-F238E27FC236}">
                  <a16:creationId xmlns:a16="http://schemas.microsoft.com/office/drawing/2014/main" id="{00000000-0008-0000-1D00-00008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7</xdr:col>
          <xdr:colOff>0</xdr:colOff>
          <xdr:row>125</xdr:row>
          <xdr:rowOff>0</xdr:rowOff>
        </xdr:to>
        <xdr:sp macro="" textlink="">
          <xdr:nvSpPr>
            <xdr:cNvPr id="281995" name="bpmDropDownFLU1233" hidden="1">
              <a:extLst>
                <a:ext uri="{63B3BB69-23CF-44E3-9099-C40C66FF867C}">
                  <a14:compatExt spid="_x0000_s281995"/>
                </a:ext>
                <a:ext uri="{FF2B5EF4-FFF2-40B4-BE49-F238E27FC236}">
                  <a16:creationId xmlns:a16="http://schemas.microsoft.com/office/drawing/2014/main" id="{00000000-0008-0000-1D00-00008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7</xdr:col>
          <xdr:colOff>0</xdr:colOff>
          <xdr:row>126</xdr:row>
          <xdr:rowOff>0</xdr:rowOff>
        </xdr:to>
        <xdr:sp macro="" textlink="">
          <xdr:nvSpPr>
            <xdr:cNvPr id="281996" name="bpmDropDownFLU1234" hidden="1">
              <a:extLst>
                <a:ext uri="{63B3BB69-23CF-44E3-9099-C40C66FF867C}">
                  <a14:compatExt spid="_x0000_s281996"/>
                </a:ext>
                <a:ext uri="{FF2B5EF4-FFF2-40B4-BE49-F238E27FC236}">
                  <a16:creationId xmlns:a16="http://schemas.microsoft.com/office/drawing/2014/main" id="{00000000-0008-0000-1D00-00008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281997" name="bpmDropDownFLU1235" hidden="1">
              <a:extLst>
                <a:ext uri="{63B3BB69-23CF-44E3-9099-C40C66FF867C}">
                  <a14:compatExt spid="_x0000_s281997"/>
                </a:ext>
                <a:ext uri="{FF2B5EF4-FFF2-40B4-BE49-F238E27FC236}">
                  <a16:creationId xmlns:a16="http://schemas.microsoft.com/office/drawing/2014/main" id="{00000000-0008-0000-1D00-00008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281998" name="bpmDropDownFLU1236" hidden="1">
              <a:extLst>
                <a:ext uri="{63B3BB69-23CF-44E3-9099-C40C66FF867C}">
                  <a14:compatExt spid="_x0000_s281998"/>
                </a:ext>
                <a:ext uri="{FF2B5EF4-FFF2-40B4-BE49-F238E27FC236}">
                  <a16:creationId xmlns:a16="http://schemas.microsoft.com/office/drawing/2014/main" id="{00000000-0008-0000-1D00-00008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281999" name="bpmDropDownFLU1237" hidden="1">
              <a:extLst>
                <a:ext uri="{63B3BB69-23CF-44E3-9099-C40C66FF867C}">
                  <a14:compatExt spid="_x0000_s281999"/>
                </a:ext>
                <a:ext uri="{FF2B5EF4-FFF2-40B4-BE49-F238E27FC236}">
                  <a16:creationId xmlns:a16="http://schemas.microsoft.com/office/drawing/2014/main" id="{00000000-0008-0000-1D00-00008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282000" name="bpmDropDownFLU1238" hidden="1">
              <a:extLst>
                <a:ext uri="{63B3BB69-23CF-44E3-9099-C40C66FF867C}">
                  <a14:compatExt spid="_x0000_s282000"/>
                </a:ext>
                <a:ext uri="{FF2B5EF4-FFF2-40B4-BE49-F238E27FC236}">
                  <a16:creationId xmlns:a16="http://schemas.microsoft.com/office/drawing/2014/main" id="{00000000-0008-0000-1D00-00009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282001" name="bpmDropDownFLU1239" hidden="1">
              <a:extLst>
                <a:ext uri="{63B3BB69-23CF-44E3-9099-C40C66FF867C}">
                  <a14:compatExt spid="_x0000_s282001"/>
                </a:ext>
                <a:ext uri="{FF2B5EF4-FFF2-40B4-BE49-F238E27FC236}">
                  <a16:creationId xmlns:a16="http://schemas.microsoft.com/office/drawing/2014/main" id="{00000000-0008-0000-1D00-00009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0</xdr:rowOff>
        </xdr:from>
        <xdr:to>
          <xdr:col>7</xdr:col>
          <xdr:colOff>0</xdr:colOff>
          <xdr:row>136</xdr:row>
          <xdr:rowOff>0</xdr:rowOff>
        </xdr:to>
        <xdr:sp macro="" textlink="">
          <xdr:nvSpPr>
            <xdr:cNvPr id="282002" name="bpmDropDownFLU1240" hidden="1">
              <a:extLst>
                <a:ext uri="{63B3BB69-23CF-44E3-9099-C40C66FF867C}">
                  <a14:compatExt spid="_x0000_s282002"/>
                </a:ext>
                <a:ext uri="{FF2B5EF4-FFF2-40B4-BE49-F238E27FC236}">
                  <a16:creationId xmlns:a16="http://schemas.microsoft.com/office/drawing/2014/main" id="{00000000-0008-0000-1D00-00009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7</xdr:col>
          <xdr:colOff>0</xdr:colOff>
          <xdr:row>137</xdr:row>
          <xdr:rowOff>0</xdr:rowOff>
        </xdr:to>
        <xdr:sp macro="" textlink="">
          <xdr:nvSpPr>
            <xdr:cNvPr id="282003" name="bpmDropDownFLU1241" hidden="1">
              <a:extLst>
                <a:ext uri="{63B3BB69-23CF-44E3-9099-C40C66FF867C}">
                  <a14:compatExt spid="_x0000_s282003"/>
                </a:ext>
                <a:ext uri="{FF2B5EF4-FFF2-40B4-BE49-F238E27FC236}">
                  <a16:creationId xmlns:a16="http://schemas.microsoft.com/office/drawing/2014/main" id="{00000000-0008-0000-1D00-00009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7</xdr:col>
          <xdr:colOff>0</xdr:colOff>
          <xdr:row>138</xdr:row>
          <xdr:rowOff>0</xdr:rowOff>
        </xdr:to>
        <xdr:sp macro="" textlink="">
          <xdr:nvSpPr>
            <xdr:cNvPr id="282004" name="bpmDropDownFLU1242" hidden="1">
              <a:extLst>
                <a:ext uri="{63B3BB69-23CF-44E3-9099-C40C66FF867C}">
                  <a14:compatExt spid="_x0000_s282004"/>
                </a:ext>
                <a:ext uri="{FF2B5EF4-FFF2-40B4-BE49-F238E27FC236}">
                  <a16:creationId xmlns:a16="http://schemas.microsoft.com/office/drawing/2014/main" id="{00000000-0008-0000-1D00-00009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0</xdr:rowOff>
        </xdr:from>
        <xdr:to>
          <xdr:col>7</xdr:col>
          <xdr:colOff>0</xdr:colOff>
          <xdr:row>139</xdr:row>
          <xdr:rowOff>0</xdr:rowOff>
        </xdr:to>
        <xdr:sp macro="" textlink="">
          <xdr:nvSpPr>
            <xdr:cNvPr id="282005" name="bpmDropDownFLU1243" hidden="1">
              <a:extLst>
                <a:ext uri="{63B3BB69-23CF-44E3-9099-C40C66FF867C}">
                  <a14:compatExt spid="_x0000_s282005"/>
                </a:ext>
                <a:ext uri="{FF2B5EF4-FFF2-40B4-BE49-F238E27FC236}">
                  <a16:creationId xmlns:a16="http://schemas.microsoft.com/office/drawing/2014/main" id="{00000000-0008-0000-1D00-00009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7</xdr:col>
          <xdr:colOff>0</xdr:colOff>
          <xdr:row>140</xdr:row>
          <xdr:rowOff>0</xdr:rowOff>
        </xdr:to>
        <xdr:sp macro="" textlink="">
          <xdr:nvSpPr>
            <xdr:cNvPr id="282006" name="bpmDropDownFLU1244" hidden="1">
              <a:extLst>
                <a:ext uri="{63B3BB69-23CF-44E3-9099-C40C66FF867C}">
                  <a14:compatExt spid="_x0000_s282006"/>
                </a:ext>
                <a:ext uri="{FF2B5EF4-FFF2-40B4-BE49-F238E27FC236}">
                  <a16:creationId xmlns:a16="http://schemas.microsoft.com/office/drawing/2014/main" id="{00000000-0008-0000-1D00-00009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282008" name="bpmDropDownFLU1246" hidden="1">
              <a:extLst>
                <a:ext uri="{63B3BB69-23CF-44E3-9099-C40C66FF867C}">
                  <a14:compatExt spid="_x0000_s282008"/>
                </a:ext>
                <a:ext uri="{FF2B5EF4-FFF2-40B4-BE49-F238E27FC236}">
                  <a16:creationId xmlns:a16="http://schemas.microsoft.com/office/drawing/2014/main" id="{00000000-0008-0000-1D00-00009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282009" name="bpmDropDownFLU1247" hidden="1">
              <a:extLst>
                <a:ext uri="{63B3BB69-23CF-44E3-9099-C40C66FF867C}">
                  <a14:compatExt spid="_x0000_s282009"/>
                </a:ext>
                <a:ext uri="{FF2B5EF4-FFF2-40B4-BE49-F238E27FC236}">
                  <a16:creationId xmlns:a16="http://schemas.microsoft.com/office/drawing/2014/main" id="{00000000-0008-0000-1D00-00009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282010" name="bpmDropDownFLU1248" hidden="1">
              <a:extLst>
                <a:ext uri="{63B3BB69-23CF-44E3-9099-C40C66FF867C}">
                  <a14:compatExt spid="_x0000_s282010"/>
                </a:ext>
                <a:ext uri="{FF2B5EF4-FFF2-40B4-BE49-F238E27FC236}">
                  <a16:creationId xmlns:a16="http://schemas.microsoft.com/office/drawing/2014/main" id="{00000000-0008-0000-1D00-00009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282011" name="bpmDropDownFLU1249" hidden="1">
              <a:extLst>
                <a:ext uri="{63B3BB69-23CF-44E3-9099-C40C66FF867C}">
                  <a14:compatExt spid="_x0000_s282011"/>
                </a:ext>
                <a:ext uri="{FF2B5EF4-FFF2-40B4-BE49-F238E27FC236}">
                  <a16:creationId xmlns:a16="http://schemas.microsoft.com/office/drawing/2014/main" id="{00000000-0008-0000-1D00-00009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282012" name="bpmDropDownFLU1250" hidden="1">
              <a:extLst>
                <a:ext uri="{63B3BB69-23CF-44E3-9099-C40C66FF867C}">
                  <a14:compatExt spid="_x0000_s282012"/>
                </a:ext>
                <a:ext uri="{FF2B5EF4-FFF2-40B4-BE49-F238E27FC236}">
                  <a16:creationId xmlns:a16="http://schemas.microsoft.com/office/drawing/2014/main" id="{00000000-0008-0000-1D00-00009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282013" name="bpmDropDownFLU1251" hidden="1">
              <a:extLst>
                <a:ext uri="{63B3BB69-23CF-44E3-9099-C40C66FF867C}">
                  <a14:compatExt spid="_x0000_s282013"/>
                </a:ext>
                <a:ext uri="{FF2B5EF4-FFF2-40B4-BE49-F238E27FC236}">
                  <a16:creationId xmlns:a16="http://schemas.microsoft.com/office/drawing/2014/main" id="{00000000-0008-0000-1D00-00009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282014" name="bpmDropDownFLU1252" hidden="1">
              <a:extLst>
                <a:ext uri="{63B3BB69-23CF-44E3-9099-C40C66FF867C}">
                  <a14:compatExt spid="_x0000_s282014"/>
                </a:ext>
                <a:ext uri="{FF2B5EF4-FFF2-40B4-BE49-F238E27FC236}">
                  <a16:creationId xmlns:a16="http://schemas.microsoft.com/office/drawing/2014/main" id="{00000000-0008-0000-1D00-00009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282015" name="bpmDropDownFLU1253" hidden="1">
              <a:extLst>
                <a:ext uri="{63B3BB69-23CF-44E3-9099-C40C66FF867C}">
                  <a14:compatExt spid="_x0000_s282015"/>
                </a:ext>
                <a:ext uri="{FF2B5EF4-FFF2-40B4-BE49-F238E27FC236}">
                  <a16:creationId xmlns:a16="http://schemas.microsoft.com/office/drawing/2014/main" id="{00000000-0008-0000-1D00-00009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282016" name="bpmDropDownFLU1254" hidden="1">
              <a:extLst>
                <a:ext uri="{63B3BB69-23CF-44E3-9099-C40C66FF867C}">
                  <a14:compatExt spid="_x0000_s282016"/>
                </a:ext>
                <a:ext uri="{FF2B5EF4-FFF2-40B4-BE49-F238E27FC236}">
                  <a16:creationId xmlns:a16="http://schemas.microsoft.com/office/drawing/2014/main" id="{00000000-0008-0000-1D00-0000A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282017" name="bpmDropDownFLU1255" hidden="1">
              <a:extLst>
                <a:ext uri="{63B3BB69-23CF-44E3-9099-C40C66FF867C}">
                  <a14:compatExt spid="_x0000_s282017"/>
                </a:ext>
                <a:ext uri="{FF2B5EF4-FFF2-40B4-BE49-F238E27FC236}">
                  <a16:creationId xmlns:a16="http://schemas.microsoft.com/office/drawing/2014/main" id="{00000000-0008-0000-1D00-0000A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282018" name="bpmDropDownFLU1256" hidden="1">
              <a:extLst>
                <a:ext uri="{63B3BB69-23CF-44E3-9099-C40C66FF867C}">
                  <a14:compatExt spid="_x0000_s282018"/>
                </a:ext>
                <a:ext uri="{FF2B5EF4-FFF2-40B4-BE49-F238E27FC236}">
                  <a16:creationId xmlns:a16="http://schemas.microsoft.com/office/drawing/2014/main" id="{00000000-0008-0000-1D00-0000A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7</xdr:col>
          <xdr:colOff>0</xdr:colOff>
          <xdr:row>156</xdr:row>
          <xdr:rowOff>0</xdr:rowOff>
        </xdr:to>
        <xdr:sp macro="" textlink="">
          <xdr:nvSpPr>
            <xdr:cNvPr id="282019" name="bpmDropDownFLU1257" hidden="1">
              <a:extLst>
                <a:ext uri="{63B3BB69-23CF-44E3-9099-C40C66FF867C}">
                  <a14:compatExt spid="_x0000_s282019"/>
                </a:ext>
                <a:ext uri="{FF2B5EF4-FFF2-40B4-BE49-F238E27FC236}">
                  <a16:creationId xmlns:a16="http://schemas.microsoft.com/office/drawing/2014/main" id="{00000000-0008-0000-1D00-0000A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7</xdr:col>
          <xdr:colOff>0</xdr:colOff>
          <xdr:row>157</xdr:row>
          <xdr:rowOff>0</xdr:rowOff>
        </xdr:to>
        <xdr:sp macro="" textlink="">
          <xdr:nvSpPr>
            <xdr:cNvPr id="282020" name="bpmDropDownFLU1258" hidden="1">
              <a:extLst>
                <a:ext uri="{63B3BB69-23CF-44E3-9099-C40C66FF867C}">
                  <a14:compatExt spid="_x0000_s282020"/>
                </a:ext>
                <a:ext uri="{FF2B5EF4-FFF2-40B4-BE49-F238E27FC236}">
                  <a16:creationId xmlns:a16="http://schemas.microsoft.com/office/drawing/2014/main" id="{00000000-0008-0000-1D00-0000A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7</xdr:col>
          <xdr:colOff>0</xdr:colOff>
          <xdr:row>158</xdr:row>
          <xdr:rowOff>0</xdr:rowOff>
        </xdr:to>
        <xdr:sp macro="" textlink="">
          <xdr:nvSpPr>
            <xdr:cNvPr id="282021" name="bpmDropDownFLU1259" hidden="1">
              <a:extLst>
                <a:ext uri="{63B3BB69-23CF-44E3-9099-C40C66FF867C}">
                  <a14:compatExt spid="_x0000_s282021"/>
                </a:ext>
                <a:ext uri="{FF2B5EF4-FFF2-40B4-BE49-F238E27FC236}">
                  <a16:creationId xmlns:a16="http://schemas.microsoft.com/office/drawing/2014/main" id="{00000000-0008-0000-1D00-0000A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282022" name="bpmDropDownFLU1260" hidden="1">
              <a:extLst>
                <a:ext uri="{63B3BB69-23CF-44E3-9099-C40C66FF867C}">
                  <a14:compatExt spid="_x0000_s282022"/>
                </a:ext>
                <a:ext uri="{FF2B5EF4-FFF2-40B4-BE49-F238E27FC236}">
                  <a16:creationId xmlns:a16="http://schemas.microsoft.com/office/drawing/2014/main" id="{00000000-0008-0000-1D00-0000A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282024" name="bpmDropDownFLU1262" hidden="1">
              <a:extLst>
                <a:ext uri="{63B3BB69-23CF-44E3-9099-C40C66FF867C}">
                  <a14:compatExt spid="_x0000_s282024"/>
                </a:ext>
                <a:ext uri="{FF2B5EF4-FFF2-40B4-BE49-F238E27FC236}">
                  <a16:creationId xmlns:a16="http://schemas.microsoft.com/office/drawing/2014/main" id="{00000000-0008-0000-1D00-0000A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282025" name="bpmDropDownFLU1263" hidden="1">
              <a:extLst>
                <a:ext uri="{63B3BB69-23CF-44E3-9099-C40C66FF867C}">
                  <a14:compatExt spid="_x0000_s282025"/>
                </a:ext>
                <a:ext uri="{FF2B5EF4-FFF2-40B4-BE49-F238E27FC236}">
                  <a16:creationId xmlns:a16="http://schemas.microsoft.com/office/drawing/2014/main" id="{00000000-0008-0000-1D00-0000A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7</xdr:col>
          <xdr:colOff>0</xdr:colOff>
          <xdr:row>162</xdr:row>
          <xdr:rowOff>0</xdr:rowOff>
        </xdr:to>
        <xdr:sp macro="" textlink="">
          <xdr:nvSpPr>
            <xdr:cNvPr id="282026" name="bpmDropDownFLU1264" hidden="1">
              <a:extLst>
                <a:ext uri="{63B3BB69-23CF-44E3-9099-C40C66FF867C}">
                  <a14:compatExt spid="_x0000_s282026"/>
                </a:ext>
                <a:ext uri="{FF2B5EF4-FFF2-40B4-BE49-F238E27FC236}">
                  <a16:creationId xmlns:a16="http://schemas.microsoft.com/office/drawing/2014/main" id="{00000000-0008-0000-1D00-0000A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7</xdr:col>
          <xdr:colOff>0</xdr:colOff>
          <xdr:row>163</xdr:row>
          <xdr:rowOff>0</xdr:rowOff>
        </xdr:to>
        <xdr:sp macro="" textlink="">
          <xdr:nvSpPr>
            <xdr:cNvPr id="282027" name="bpmDropDownFLU1265" hidden="1">
              <a:extLst>
                <a:ext uri="{63B3BB69-23CF-44E3-9099-C40C66FF867C}">
                  <a14:compatExt spid="_x0000_s282027"/>
                </a:ext>
                <a:ext uri="{FF2B5EF4-FFF2-40B4-BE49-F238E27FC236}">
                  <a16:creationId xmlns:a16="http://schemas.microsoft.com/office/drawing/2014/main" id="{00000000-0008-0000-1D00-0000A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282028" name="bpmDropDownFLU1266" hidden="1">
              <a:extLst>
                <a:ext uri="{63B3BB69-23CF-44E3-9099-C40C66FF867C}">
                  <a14:compatExt spid="_x0000_s282028"/>
                </a:ext>
                <a:ext uri="{FF2B5EF4-FFF2-40B4-BE49-F238E27FC236}">
                  <a16:creationId xmlns:a16="http://schemas.microsoft.com/office/drawing/2014/main" id="{00000000-0008-0000-1D00-0000A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282029" name="bpmDropDownFLU1267" hidden="1">
              <a:extLst>
                <a:ext uri="{63B3BB69-23CF-44E3-9099-C40C66FF867C}">
                  <a14:compatExt spid="_x0000_s282029"/>
                </a:ext>
                <a:ext uri="{FF2B5EF4-FFF2-40B4-BE49-F238E27FC236}">
                  <a16:creationId xmlns:a16="http://schemas.microsoft.com/office/drawing/2014/main" id="{00000000-0008-0000-1D00-0000A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282030" name="bpmDropDownFLU1268" hidden="1">
              <a:extLst>
                <a:ext uri="{63B3BB69-23CF-44E3-9099-C40C66FF867C}">
                  <a14:compatExt spid="_x0000_s282030"/>
                </a:ext>
                <a:ext uri="{FF2B5EF4-FFF2-40B4-BE49-F238E27FC236}">
                  <a16:creationId xmlns:a16="http://schemas.microsoft.com/office/drawing/2014/main" id="{00000000-0008-0000-1D00-0000A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7</xdr:col>
          <xdr:colOff>0</xdr:colOff>
          <xdr:row>197</xdr:row>
          <xdr:rowOff>0</xdr:rowOff>
        </xdr:to>
        <xdr:sp macro="" textlink="">
          <xdr:nvSpPr>
            <xdr:cNvPr id="282031" name="bpmDropDownFLU1269" hidden="1">
              <a:extLst>
                <a:ext uri="{63B3BB69-23CF-44E3-9099-C40C66FF867C}">
                  <a14:compatExt spid="_x0000_s282031"/>
                </a:ext>
                <a:ext uri="{FF2B5EF4-FFF2-40B4-BE49-F238E27FC236}">
                  <a16:creationId xmlns:a16="http://schemas.microsoft.com/office/drawing/2014/main" id="{00000000-0008-0000-1D00-0000A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0</xdr:rowOff>
        </xdr:from>
        <xdr:to>
          <xdr:col>7</xdr:col>
          <xdr:colOff>0</xdr:colOff>
          <xdr:row>198</xdr:row>
          <xdr:rowOff>0</xdr:rowOff>
        </xdr:to>
        <xdr:sp macro="" textlink="">
          <xdr:nvSpPr>
            <xdr:cNvPr id="282032" name="bpmDropDownFLU1270" hidden="1">
              <a:extLst>
                <a:ext uri="{63B3BB69-23CF-44E3-9099-C40C66FF867C}">
                  <a14:compatExt spid="_x0000_s282032"/>
                </a:ext>
                <a:ext uri="{FF2B5EF4-FFF2-40B4-BE49-F238E27FC236}">
                  <a16:creationId xmlns:a16="http://schemas.microsoft.com/office/drawing/2014/main" id="{00000000-0008-0000-1D00-0000B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198</xdr:row>
          <xdr:rowOff>0</xdr:rowOff>
        </xdr:from>
        <xdr:to>
          <xdr:col>7</xdr:col>
          <xdr:colOff>0</xdr:colOff>
          <xdr:row>199</xdr:row>
          <xdr:rowOff>0</xdr:rowOff>
        </xdr:to>
        <xdr:sp macro="" textlink="">
          <xdr:nvSpPr>
            <xdr:cNvPr id="282033" name="bpmDropDownFLU1271" hidden="1">
              <a:extLst>
                <a:ext uri="{63B3BB69-23CF-44E3-9099-C40C66FF867C}">
                  <a14:compatExt spid="_x0000_s282033"/>
                </a:ext>
                <a:ext uri="{FF2B5EF4-FFF2-40B4-BE49-F238E27FC236}">
                  <a16:creationId xmlns:a16="http://schemas.microsoft.com/office/drawing/2014/main" id="{00000000-0008-0000-1D00-0000B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7</xdr:col>
          <xdr:colOff>0</xdr:colOff>
          <xdr:row>200</xdr:row>
          <xdr:rowOff>0</xdr:rowOff>
        </xdr:to>
        <xdr:sp macro="" textlink="">
          <xdr:nvSpPr>
            <xdr:cNvPr id="282034" name="bpmDropDownFLU1272" hidden="1">
              <a:extLst>
                <a:ext uri="{63B3BB69-23CF-44E3-9099-C40C66FF867C}">
                  <a14:compatExt spid="_x0000_s282034"/>
                </a:ext>
                <a:ext uri="{FF2B5EF4-FFF2-40B4-BE49-F238E27FC236}">
                  <a16:creationId xmlns:a16="http://schemas.microsoft.com/office/drawing/2014/main" id="{00000000-0008-0000-1D00-0000B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7</xdr:col>
          <xdr:colOff>0</xdr:colOff>
          <xdr:row>201</xdr:row>
          <xdr:rowOff>0</xdr:rowOff>
        </xdr:to>
        <xdr:sp macro="" textlink="">
          <xdr:nvSpPr>
            <xdr:cNvPr id="282035" name="bpmDropDownFLU1273" hidden="1">
              <a:extLst>
                <a:ext uri="{63B3BB69-23CF-44E3-9099-C40C66FF867C}">
                  <a14:compatExt spid="_x0000_s282035"/>
                </a:ext>
                <a:ext uri="{FF2B5EF4-FFF2-40B4-BE49-F238E27FC236}">
                  <a16:creationId xmlns:a16="http://schemas.microsoft.com/office/drawing/2014/main" id="{00000000-0008-0000-1D00-0000B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201</xdr:row>
          <xdr:rowOff>0</xdr:rowOff>
        </xdr:from>
        <xdr:to>
          <xdr:col>7</xdr:col>
          <xdr:colOff>0</xdr:colOff>
          <xdr:row>202</xdr:row>
          <xdr:rowOff>0</xdr:rowOff>
        </xdr:to>
        <xdr:sp macro="" textlink="">
          <xdr:nvSpPr>
            <xdr:cNvPr id="282036" name="bpmDropDownFLU1274" hidden="1">
              <a:extLst>
                <a:ext uri="{63B3BB69-23CF-44E3-9099-C40C66FF867C}">
                  <a14:compatExt spid="_x0000_s282036"/>
                </a:ext>
                <a:ext uri="{FF2B5EF4-FFF2-40B4-BE49-F238E27FC236}">
                  <a16:creationId xmlns:a16="http://schemas.microsoft.com/office/drawing/2014/main" id="{00000000-0008-0000-1D00-0000B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7</xdr:col>
          <xdr:colOff>0</xdr:colOff>
          <xdr:row>203</xdr:row>
          <xdr:rowOff>0</xdr:rowOff>
        </xdr:to>
        <xdr:sp macro="" textlink="">
          <xdr:nvSpPr>
            <xdr:cNvPr id="282037" name="bpmDropDownFLU1275" hidden="1">
              <a:extLst>
                <a:ext uri="{63B3BB69-23CF-44E3-9099-C40C66FF867C}">
                  <a14:compatExt spid="_x0000_s282037"/>
                </a:ext>
                <a:ext uri="{FF2B5EF4-FFF2-40B4-BE49-F238E27FC236}">
                  <a16:creationId xmlns:a16="http://schemas.microsoft.com/office/drawing/2014/main" id="{00000000-0008-0000-1D00-0000B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0</xdr:rowOff>
        </xdr:from>
        <xdr:to>
          <xdr:col>7</xdr:col>
          <xdr:colOff>0</xdr:colOff>
          <xdr:row>204</xdr:row>
          <xdr:rowOff>0</xdr:rowOff>
        </xdr:to>
        <xdr:sp macro="" textlink="">
          <xdr:nvSpPr>
            <xdr:cNvPr id="282038" name="bpmDropDownFLU1276" hidden="1">
              <a:extLst>
                <a:ext uri="{63B3BB69-23CF-44E3-9099-C40C66FF867C}">
                  <a14:compatExt spid="_x0000_s282038"/>
                </a:ext>
                <a:ext uri="{FF2B5EF4-FFF2-40B4-BE49-F238E27FC236}">
                  <a16:creationId xmlns:a16="http://schemas.microsoft.com/office/drawing/2014/main" id="{00000000-0008-0000-1D00-0000B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204</xdr:row>
          <xdr:rowOff>0</xdr:rowOff>
        </xdr:from>
        <xdr:to>
          <xdr:col>7</xdr:col>
          <xdr:colOff>0</xdr:colOff>
          <xdr:row>205</xdr:row>
          <xdr:rowOff>0</xdr:rowOff>
        </xdr:to>
        <xdr:sp macro="" textlink="">
          <xdr:nvSpPr>
            <xdr:cNvPr id="282040" name="bpmDropDownFLU1278" hidden="1">
              <a:extLst>
                <a:ext uri="{63B3BB69-23CF-44E3-9099-C40C66FF867C}">
                  <a14:compatExt spid="_x0000_s282040"/>
                </a:ext>
                <a:ext uri="{FF2B5EF4-FFF2-40B4-BE49-F238E27FC236}">
                  <a16:creationId xmlns:a16="http://schemas.microsoft.com/office/drawing/2014/main" id="{00000000-0008-0000-1D00-0000B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7</xdr:col>
          <xdr:colOff>0</xdr:colOff>
          <xdr:row>206</xdr:row>
          <xdr:rowOff>0</xdr:rowOff>
        </xdr:to>
        <xdr:sp macro="" textlink="">
          <xdr:nvSpPr>
            <xdr:cNvPr id="282041" name="bpmDropDownFLU1279" hidden="1">
              <a:extLst>
                <a:ext uri="{63B3BB69-23CF-44E3-9099-C40C66FF867C}">
                  <a14:compatExt spid="_x0000_s282041"/>
                </a:ext>
                <a:ext uri="{FF2B5EF4-FFF2-40B4-BE49-F238E27FC236}">
                  <a16:creationId xmlns:a16="http://schemas.microsoft.com/office/drawing/2014/main" id="{00000000-0008-0000-1D00-0000B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7</xdr:col>
          <xdr:colOff>0</xdr:colOff>
          <xdr:row>207</xdr:row>
          <xdr:rowOff>0</xdr:rowOff>
        </xdr:to>
        <xdr:sp macro="" textlink="">
          <xdr:nvSpPr>
            <xdr:cNvPr id="282042" name="bpmDropDownFLU1280" hidden="1">
              <a:extLst>
                <a:ext uri="{63B3BB69-23CF-44E3-9099-C40C66FF867C}">
                  <a14:compatExt spid="_x0000_s282042"/>
                </a:ext>
                <a:ext uri="{FF2B5EF4-FFF2-40B4-BE49-F238E27FC236}">
                  <a16:creationId xmlns:a16="http://schemas.microsoft.com/office/drawing/2014/main" id="{00000000-0008-0000-1D00-0000B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207</xdr:row>
          <xdr:rowOff>0</xdr:rowOff>
        </xdr:from>
        <xdr:to>
          <xdr:col>7</xdr:col>
          <xdr:colOff>0</xdr:colOff>
          <xdr:row>208</xdr:row>
          <xdr:rowOff>0</xdr:rowOff>
        </xdr:to>
        <xdr:sp macro="" textlink="">
          <xdr:nvSpPr>
            <xdr:cNvPr id="282043" name="bpmDropDownFLU1281" hidden="1">
              <a:extLst>
                <a:ext uri="{63B3BB69-23CF-44E3-9099-C40C66FF867C}">
                  <a14:compatExt spid="_x0000_s282043"/>
                </a:ext>
                <a:ext uri="{FF2B5EF4-FFF2-40B4-BE49-F238E27FC236}">
                  <a16:creationId xmlns:a16="http://schemas.microsoft.com/office/drawing/2014/main" id="{00000000-0008-0000-1D00-0000B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7</xdr:col>
          <xdr:colOff>0</xdr:colOff>
          <xdr:row>209</xdr:row>
          <xdr:rowOff>0</xdr:rowOff>
        </xdr:to>
        <xdr:sp macro="" textlink="">
          <xdr:nvSpPr>
            <xdr:cNvPr id="282044" name="bpmDropDownFLU1282" hidden="1">
              <a:extLst>
                <a:ext uri="{63B3BB69-23CF-44E3-9099-C40C66FF867C}">
                  <a14:compatExt spid="_x0000_s282044"/>
                </a:ext>
                <a:ext uri="{FF2B5EF4-FFF2-40B4-BE49-F238E27FC236}">
                  <a16:creationId xmlns:a16="http://schemas.microsoft.com/office/drawing/2014/main" id="{00000000-0008-0000-1D00-0000B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0</xdr:rowOff>
        </xdr:from>
        <xdr:to>
          <xdr:col>7</xdr:col>
          <xdr:colOff>0</xdr:colOff>
          <xdr:row>210</xdr:row>
          <xdr:rowOff>0</xdr:rowOff>
        </xdr:to>
        <xdr:sp macro="" textlink="">
          <xdr:nvSpPr>
            <xdr:cNvPr id="282045" name="bpmDropDownFLU1283" hidden="1">
              <a:extLst>
                <a:ext uri="{63B3BB69-23CF-44E3-9099-C40C66FF867C}">
                  <a14:compatExt spid="_x0000_s282045"/>
                </a:ext>
                <a:ext uri="{FF2B5EF4-FFF2-40B4-BE49-F238E27FC236}">
                  <a16:creationId xmlns:a16="http://schemas.microsoft.com/office/drawing/2014/main" id="{00000000-0008-0000-1D00-0000B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7</xdr:col>
          <xdr:colOff>0</xdr:colOff>
          <xdr:row>211</xdr:row>
          <xdr:rowOff>0</xdr:rowOff>
        </xdr:to>
        <xdr:sp macro="" textlink="">
          <xdr:nvSpPr>
            <xdr:cNvPr id="282046" name="bpmDropDownFLU1284" hidden="1">
              <a:extLst>
                <a:ext uri="{63B3BB69-23CF-44E3-9099-C40C66FF867C}">
                  <a14:compatExt spid="_x0000_s282046"/>
                </a:ext>
                <a:ext uri="{FF2B5EF4-FFF2-40B4-BE49-F238E27FC236}">
                  <a16:creationId xmlns:a16="http://schemas.microsoft.com/office/drawing/2014/main" id="{00000000-0008-0000-1D00-0000B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7</xdr:col>
          <xdr:colOff>0</xdr:colOff>
          <xdr:row>216</xdr:row>
          <xdr:rowOff>0</xdr:rowOff>
        </xdr:to>
        <xdr:sp macro="" textlink="">
          <xdr:nvSpPr>
            <xdr:cNvPr id="282047" name="bpmDropDownFLU1285" hidden="1">
              <a:extLst>
                <a:ext uri="{63B3BB69-23CF-44E3-9099-C40C66FF867C}">
                  <a14:compatExt spid="_x0000_s282047"/>
                </a:ext>
                <a:ext uri="{FF2B5EF4-FFF2-40B4-BE49-F238E27FC236}">
                  <a16:creationId xmlns:a16="http://schemas.microsoft.com/office/drawing/2014/main" id="{00000000-0008-0000-1D00-0000B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7</xdr:col>
          <xdr:colOff>0</xdr:colOff>
          <xdr:row>217</xdr:row>
          <xdr:rowOff>0</xdr:rowOff>
        </xdr:to>
        <xdr:sp macro="" textlink="">
          <xdr:nvSpPr>
            <xdr:cNvPr id="282048" name="bpmDropDownFLU1286" hidden="1">
              <a:extLst>
                <a:ext uri="{63B3BB69-23CF-44E3-9099-C40C66FF867C}">
                  <a14:compatExt spid="_x0000_s282048"/>
                </a:ext>
                <a:ext uri="{FF2B5EF4-FFF2-40B4-BE49-F238E27FC236}">
                  <a16:creationId xmlns:a16="http://schemas.microsoft.com/office/drawing/2014/main" id="{00000000-0008-0000-1D00-0000C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7</xdr:col>
          <xdr:colOff>0</xdr:colOff>
          <xdr:row>218</xdr:row>
          <xdr:rowOff>0</xdr:rowOff>
        </xdr:to>
        <xdr:sp macro="" textlink="">
          <xdr:nvSpPr>
            <xdr:cNvPr id="282049" name="bpmDropDownFLU1287" hidden="1">
              <a:extLst>
                <a:ext uri="{63B3BB69-23CF-44E3-9099-C40C66FF867C}">
                  <a14:compatExt spid="_x0000_s282049"/>
                </a:ext>
                <a:ext uri="{FF2B5EF4-FFF2-40B4-BE49-F238E27FC236}">
                  <a16:creationId xmlns:a16="http://schemas.microsoft.com/office/drawing/2014/main" id="{00000000-0008-0000-1D00-0000C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218</xdr:row>
          <xdr:rowOff>0</xdr:rowOff>
        </xdr:from>
        <xdr:to>
          <xdr:col>7</xdr:col>
          <xdr:colOff>0</xdr:colOff>
          <xdr:row>219</xdr:row>
          <xdr:rowOff>0</xdr:rowOff>
        </xdr:to>
        <xdr:sp macro="" textlink="">
          <xdr:nvSpPr>
            <xdr:cNvPr id="282050" name="bpmDropDownFLU1288" hidden="1">
              <a:extLst>
                <a:ext uri="{63B3BB69-23CF-44E3-9099-C40C66FF867C}">
                  <a14:compatExt spid="_x0000_s282050"/>
                </a:ext>
                <a:ext uri="{FF2B5EF4-FFF2-40B4-BE49-F238E27FC236}">
                  <a16:creationId xmlns:a16="http://schemas.microsoft.com/office/drawing/2014/main" id="{00000000-0008-0000-1D00-0000C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7</xdr:col>
          <xdr:colOff>0</xdr:colOff>
          <xdr:row>220</xdr:row>
          <xdr:rowOff>0</xdr:rowOff>
        </xdr:to>
        <xdr:sp macro="" textlink="">
          <xdr:nvSpPr>
            <xdr:cNvPr id="282051" name="bpmDropDownFLU1289" hidden="1">
              <a:extLst>
                <a:ext uri="{63B3BB69-23CF-44E3-9099-C40C66FF867C}">
                  <a14:compatExt spid="_x0000_s282051"/>
                </a:ext>
                <a:ext uri="{FF2B5EF4-FFF2-40B4-BE49-F238E27FC236}">
                  <a16:creationId xmlns:a16="http://schemas.microsoft.com/office/drawing/2014/main" id="{00000000-0008-0000-1D00-0000C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7</xdr:col>
          <xdr:colOff>0</xdr:colOff>
          <xdr:row>221</xdr:row>
          <xdr:rowOff>0</xdr:rowOff>
        </xdr:to>
        <xdr:sp macro="" textlink="">
          <xdr:nvSpPr>
            <xdr:cNvPr id="282052" name="bpmDropDownFLU1290" hidden="1">
              <a:extLst>
                <a:ext uri="{63B3BB69-23CF-44E3-9099-C40C66FF867C}">
                  <a14:compatExt spid="_x0000_s282052"/>
                </a:ext>
                <a:ext uri="{FF2B5EF4-FFF2-40B4-BE49-F238E27FC236}">
                  <a16:creationId xmlns:a16="http://schemas.microsoft.com/office/drawing/2014/main" id="{00000000-0008-0000-1D00-0000C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0</xdr:rowOff>
        </xdr:from>
        <xdr:to>
          <xdr:col>7</xdr:col>
          <xdr:colOff>0</xdr:colOff>
          <xdr:row>222</xdr:row>
          <xdr:rowOff>0</xdr:rowOff>
        </xdr:to>
        <xdr:sp macro="" textlink="">
          <xdr:nvSpPr>
            <xdr:cNvPr id="282053" name="bpmDropDownFLU1291" hidden="1">
              <a:extLst>
                <a:ext uri="{63B3BB69-23CF-44E3-9099-C40C66FF867C}">
                  <a14:compatExt spid="_x0000_s282053"/>
                </a:ext>
                <a:ext uri="{FF2B5EF4-FFF2-40B4-BE49-F238E27FC236}">
                  <a16:creationId xmlns:a16="http://schemas.microsoft.com/office/drawing/2014/main" id="{00000000-0008-0000-1D00-0000C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222</xdr:row>
          <xdr:rowOff>0</xdr:rowOff>
        </xdr:from>
        <xdr:to>
          <xdr:col>7</xdr:col>
          <xdr:colOff>0</xdr:colOff>
          <xdr:row>223</xdr:row>
          <xdr:rowOff>0</xdr:rowOff>
        </xdr:to>
        <xdr:sp macro="" textlink="">
          <xdr:nvSpPr>
            <xdr:cNvPr id="282054" name="bpmDropDownFLU1292" hidden="1">
              <a:extLst>
                <a:ext uri="{63B3BB69-23CF-44E3-9099-C40C66FF867C}">
                  <a14:compatExt spid="_x0000_s282054"/>
                </a:ext>
                <a:ext uri="{FF2B5EF4-FFF2-40B4-BE49-F238E27FC236}">
                  <a16:creationId xmlns:a16="http://schemas.microsoft.com/office/drawing/2014/main" id="{00000000-0008-0000-1D00-0000C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7</xdr:col>
          <xdr:colOff>0</xdr:colOff>
          <xdr:row>224</xdr:row>
          <xdr:rowOff>0</xdr:rowOff>
        </xdr:to>
        <xdr:sp macro="" textlink="">
          <xdr:nvSpPr>
            <xdr:cNvPr id="282056" name="bpmDropDownFLU1294" hidden="1">
              <a:extLst>
                <a:ext uri="{63B3BB69-23CF-44E3-9099-C40C66FF867C}">
                  <a14:compatExt spid="_x0000_s282056"/>
                </a:ext>
                <a:ext uri="{FF2B5EF4-FFF2-40B4-BE49-F238E27FC236}">
                  <a16:creationId xmlns:a16="http://schemas.microsoft.com/office/drawing/2014/main" id="{00000000-0008-0000-1D00-0000C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224</xdr:row>
          <xdr:rowOff>0</xdr:rowOff>
        </xdr:from>
        <xdr:to>
          <xdr:col>7</xdr:col>
          <xdr:colOff>0</xdr:colOff>
          <xdr:row>225</xdr:row>
          <xdr:rowOff>0</xdr:rowOff>
        </xdr:to>
        <xdr:sp macro="" textlink="">
          <xdr:nvSpPr>
            <xdr:cNvPr id="282057" name="bpmDropDownFLU1295" hidden="1">
              <a:extLst>
                <a:ext uri="{63B3BB69-23CF-44E3-9099-C40C66FF867C}">
                  <a14:compatExt spid="_x0000_s282057"/>
                </a:ext>
                <a:ext uri="{FF2B5EF4-FFF2-40B4-BE49-F238E27FC236}">
                  <a16:creationId xmlns:a16="http://schemas.microsoft.com/office/drawing/2014/main" id="{00000000-0008-0000-1D00-0000C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225</xdr:row>
          <xdr:rowOff>0</xdr:rowOff>
        </xdr:from>
        <xdr:to>
          <xdr:col>7</xdr:col>
          <xdr:colOff>0</xdr:colOff>
          <xdr:row>226</xdr:row>
          <xdr:rowOff>0</xdr:rowOff>
        </xdr:to>
        <xdr:sp macro="" textlink="">
          <xdr:nvSpPr>
            <xdr:cNvPr id="282058" name="bpmDropDownFLU1296" hidden="1">
              <a:extLst>
                <a:ext uri="{63B3BB69-23CF-44E3-9099-C40C66FF867C}">
                  <a14:compatExt spid="_x0000_s282058"/>
                </a:ext>
                <a:ext uri="{FF2B5EF4-FFF2-40B4-BE49-F238E27FC236}">
                  <a16:creationId xmlns:a16="http://schemas.microsoft.com/office/drawing/2014/main" id="{00000000-0008-0000-1D00-0000C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7</xdr:col>
          <xdr:colOff>0</xdr:colOff>
          <xdr:row>227</xdr:row>
          <xdr:rowOff>0</xdr:rowOff>
        </xdr:to>
        <xdr:sp macro="" textlink="">
          <xdr:nvSpPr>
            <xdr:cNvPr id="282059" name="bpmDropDownFLU1297" hidden="1">
              <a:extLst>
                <a:ext uri="{63B3BB69-23CF-44E3-9099-C40C66FF867C}">
                  <a14:compatExt spid="_x0000_s282059"/>
                </a:ext>
                <a:ext uri="{FF2B5EF4-FFF2-40B4-BE49-F238E27FC236}">
                  <a16:creationId xmlns:a16="http://schemas.microsoft.com/office/drawing/2014/main" id="{00000000-0008-0000-1D00-0000C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227</xdr:row>
          <xdr:rowOff>0</xdr:rowOff>
        </xdr:from>
        <xdr:to>
          <xdr:col>7</xdr:col>
          <xdr:colOff>0</xdr:colOff>
          <xdr:row>228</xdr:row>
          <xdr:rowOff>0</xdr:rowOff>
        </xdr:to>
        <xdr:sp macro="" textlink="">
          <xdr:nvSpPr>
            <xdr:cNvPr id="282060" name="bpmDropDownFLU1298" hidden="1">
              <a:extLst>
                <a:ext uri="{63B3BB69-23CF-44E3-9099-C40C66FF867C}">
                  <a14:compatExt spid="_x0000_s282060"/>
                </a:ext>
                <a:ext uri="{FF2B5EF4-FFF2-40B4-BE49-F238E27FC236}">
                  <a16:creationId xmlns:a16="http://schemas.microsoft.com/office/drawing/2014/main" id="{00000000-0008-0000-1D00-0000C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228</xdr:row>
          <xdr:rowOff>0</xdr:rowOff>
        </xdr:from>
        <xdr:to>
          <xdr:col>7</xdr:col>
          <xdr:colOff>0</xdr:colOff>
          <xdr:row>229</xdr:row>
          <xdr:rowOff>0</xdr:rowOff>
        </xdr:to>
        <xdr:sp macro="" textlink="">
          <xdr:nvSpPr>
            <xdr:cNvPr id="282061" name="bpmDropDownFLU1299" hidden="1">
              <a:extLst>
                <a:ext uri="{63B3BB69-23CF-44E3-9099-C40C66FF867C}">
                  <a14:compatExt spid="_x0000_s282061"/>
                </a:ext>
                <a:ext uri="{FF2B5EF4-FFF2-40B4-BE49-F238E27FC236}">
                  <a16:creationId xmlns:a16="http://schemas.microsoft.com/office/drawing/2014/main" id="{00000000-0008-0000-1D00-0000C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7</xdr:col>
          <xdr:colOff>0</xdr:colOff>
          <xdr:row>230</xdr:row>
          <xdr:rowOff>0</xdr:rowOff>
        </xdr:to>
        <xdr:sp macro="" textlink="">
          <xdr:nvSpPr>
            <xdr:cNvPr id="282062" name="bpmDropDownFLU1300" hidden="1">
              <a:extLst>
                <a:ext uri="{63B3BB69-23CF-44E3-9099-C40C66FF867C}">
                  <a14:compatExt spid="_x0000_s282062"/>
                </a:ext>
                <a:ext uri="{FF2B5EF4-FFF2-40B4-BE49-F238E27FC236}">
                  <a16:creationId xmlns:a16="http://schemas.microsoft.com/office/drawing/2014/main" id="{00000000-0008-0000-1D00-0000C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234</xdr:row>
          <xdr:rowOff>0</xdr:rowOff>
        </xdr:from>
        <xdr:to>
          <xdr:col>7</xdr:col>
          <xdr:colOff>0</xdr:colOff>
          <xdr:row>235</xdr:row>
          <xdr:rowOff>0</xdr:rowOff>
        </xdr:to>
        <xdr:sp macro="" textlink="">
          <xdr:nvSpPr>
            <xdr:cNvPr id="282063" name="bpmDropDownFLU1301" hidden="1">
              <a:extLst>
                <a:ext uri="{63B3BB69-23CF-44E3-9099-C40C66FF867C}">
                  <a14:compatExt spid="_x0000_s282063"/>
                </a:ext>
                <a:ext uri="{FF2B5EF4-FFF2-40B4-BE49-F238E27FC236}">
                  <a16:creationId xmlns:a16="http://schemas.microsoft.com/office/drawing/2014/main" id="{00000000-0008-0000-1D00-0000CF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7</xdr:col>
          <xdr:colOff>0</xdr:colOff>
          <xdr:row>236</xdr:row>
          <xdr:rowOff>0</xdr:rowOff>
        </xdr:to>
        <xdr:sp macro="" textlink="">
          <xdr:nvSpPr>
            <xdr:cNvPr id="282064" name="bpmDropDownFLU1302" hidden="1">
              <a:extLst>
                <a:ext uri="{63B3BB69-23CF-44E3-9099-C40C66FF867C}">
                  <a14:compatExt spid="_x0000_s282064"/>
                </a:ext>
                <a:ext uri="{FF2B5EF4-FFF2-40B4-BE49-F238E27FC236}">
                  <a16:creationId xmlns:a16="http://schemas.microsoft.com/office/drawing/2014/main" id="{00000000-0008-0000-1D00-0000D0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0</xdr:rowOff>
        </xdr:from>
        <xdr:to>
          <xdr:col>7</xdr:col>
          <xdr:colOff>0</xdr:colOff>
          <xdr:row>237</xdr:row>
          <xdr:rowOff>0</xdr:rowOff>
        </xdr:to>
        <xdr:sp macro="" textlink="">
          <xdr:nvSpPr>
            <xdr:cNvPr id="282065" name="bpmDropDownFLU1303" hidden="1">
              <a:extLst>
                <a:ext uri="{63B3BB69-23CF-44E3-9099-C40C66FF867C}">
                  <a14:compatExt spid="_x0000_s282065"/>
                </a:ext>
                <a:ext uri="{FF2B5EF4-FFF2-40B4-BE49-F238E27FC236}">
                  <a16:creationId xmlns:a16="http://schemas.microsoft.com/office/drawing/2014/main" id="{00000000-0008-0000-1D00-0000D1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237</xdr:row>
          <xdr:rowOff>0</xdr:rowOff>
        </xdr:from>
        <xdr:to>
          <xdr:col>7</xdr:col>
          <xdr:colOff>0</xdr:colOff>
          <xdr:row>238</xdr:row>
          <xdr:rowOff>0</xdr:rowOff>
        </xdr:to>
        <xdr:sp macro="" textlink="">
          <xdr:nvSpPr>
            <xdr:cNvPr id="282066" name="bpmDropDownFLU1304" hidden="1">
              <a:extLst>
                <a:ext uri="{63B3BB69-23CF-44E3-9099-C40C66FF867C}">
                  <a14:compatExt spid="_x0000_s282066"/>
                </a:ext>
                <a:ext uri="{FF2B5EF4-FFF2-40B4-BE49-F238E27FC236}">
                  <a16:creationId xmlns:a16="http://schemas.microsoft.com/office/drawing/2014/main" id="{00000000-0008-0000-1D00-0000D2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7</xdr:col>
          <xdr:colOff>0</xdr:colOff>
          <xdr:row>239</xdr:row>
          <xdr:rowOff>0</xdr:rowOff>
        </xdr:to>
        <xdr:sp macro="" textlink="">
          <xdr:nvSpPr>
            <xdr:cNvPr id="282067" name="bpmDropDownFLU1305" hidden="1">
              <a:extLst>
                <a:ext uri="{63B3BB69-23CF-44E3-9099-C40C66FF867C}">
                  <a14:compatExt spid="_x0000_s282067"/>
                </a:ext>
                <a:ext uri="{FF2B5EF4-FFF2-40B4-BE49-F238E27FC236}">
                  <a16:creationId xmlns:a16="http://schemas.microsoft.com/office/drawing/2014/main" id="{00000000-0008-0000-1D00-0000D3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239</xdr:row>
          <xdr:rowOff>0</xdr:rowOff>
        </xdr:from>
        <xdr:to>
          <xdr:col>7</xdr:col>
          <xdr:colOff>0</xdr:colOff>
          <xdr:row>240</xdr:row>
          <xdr:rowOff>0</xdr:rowOff>
        </xdr:to>
        <xdr:sp macro="" textlink="">
          <xdr:nvSpPr>
            <xdr:cNvPr id="282068" name="bpmDropDownFLU1306" hidden="1">
              <a:extLst>
                <a:ext uri="{63B3BB69-23CF-44E3-9099-C40C66FF867C}">
                  <a14:compatExt spid="_x0000_s282068"/>
                </a:ext>
                <a:ext uri="{FF2B5EF4-FFF2-40B4-BE49-F238E27FC236}">
                  <a16:creationId xmlns:a16="http://schemas.microsoft.com/office/drawing/2014/main" id="{00000000-0008-0000-1D00-0000D4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240</xdr:row>
          <xdr:rowOff>0</xdr:rowOff>
        </xdr:from>
        <xdr:to>
          <xdr:col>7</xdr:col>
          <xdr:colOff>0</xdr:colOff>
          <xdr:row>241</xdr:row>
          <xdr:rowOff>0</xdr:rowOff>
        </xdr:to>
        <xdr:sp macro="" textlink="">
          <xdr:nvSpPr>
            <xdr:cNvPr id="282069" name="bpmDropDownFLU1307" hidden="1">
              <a:extLst>
                <a:ext uri="{63B3BB69-23CF-44E3-9099-C40C66FF867C}">
                  <a14:compatExt spid="_x0000_s282069"/>
                </a:ext>
                <a:ext uri="{FF2B5EF4-FFF2-40B4-BE49-F238E27FC236}">
                  <a16:creationId xmlns:a16="http://schemas.microsoft.com/office/drawing/2014/main" id="{00000000-0008-0000-1D00-0000D5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7</xdr:col>
          <xdr:colOff>0</xdr:colOff>
          <xdr:row>242</xdr:row>
          <xdr:rowOff>0</xdr:rowOff>
        </xdr:to>
        <xdr:sp macro="" textlink="">
          <xdr:nvSpPr>
            <xdr:cNvPr id="282070" name="bpmDropDownFLU1308" hidden="1">
              <a:extLst>
                <a:ext uri="{63B3BB69-23CF-44E3-9099-C40C66FF867C}">
                  <a14:compatExt spid="_x0000_s282070"/>
                </a:ext>
                <a:ext uri="{FF2B5EF4-FFF2-40B4-BE49-F238E27FC236}">
                  <a16:creationId xmlns:a16="http://schemas.microsoft.com/office/drawing/2014/main" id="{00000000-0008-0000-1D00-0000D6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0</xdr:rowOff>
        </xdr:from>
        <xdr:to>
          <xdr:col>7</xdr:col>
          <xdr:colOff>0</xdr:colOff>
          <xdr:row>243</xdr:row>
          <xdr:rowOff>0</xdr:rowOff>
        </xdr:to>
        <xdr:sp macro="" textlink="">
          <xdr:nvSpPr>
            <xdr:cNvPr id="282072" name="bpmDropDownFLU1310" hidden="1">
              <a:extLst>
                <a:ext uri="{63B3BB69-23CF-44E3-9099-C40C66FF867C}">
                  <a14:compatExt spid="_x0000_s282072"/>
                </a:ext>
                <a:ext uri="{FF2B5EF4-FFF2-40B4-BE49-F238E27FC236}">
                  <a16:creationId xmlns:a16="http://schemas.microsoft.com/office/drawing/2014/main" id="{00000000-0008-0000-1D00-0000D8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0</xdr:rowOff>
        </xdr:from>
        <xdr:to>
          <xdr:col>7</xdr:col>
          <xdr:colOff>0</xdr:colOff>
          <xdr:row>244</xdr:row>
          <xdr:rowOff>0</xdr:rowOff>
        </xdr:to>
        <xdr:sp macro="" textlink="">
          <xdr:nvSpPr>
            <xdr:cNvPr id="282073" name="bpmDropDownFLU1311" hidden="1">
              <a:extLst>
                <a:ext uri="{63B3BB69-23CF-44E3-9099-C40C66FF867C}">
                  <a14:compatExt spid="_x0000_s282073"/>
                </a:ext>
                <a:ext uri="{FF2B5EF4-FFF2-40B4-BE49-F238E27FC236}">
                  <a16:creationId xmlns:a16="http://schemas.microsoft.com/office/drawing/2014/main" id="{00000000-0008-0000-1D00-0000D9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7</xdr:col>
          <xdr:colOff>0</xdr:colOff>
          <xdr:row>245</xdr:row>
          <xdr:rowOff>0</xdr:rowOff>
        </xdr:to>
        <xdr:sp macro="" textlink="">
          <xdr:nvSpPr>
            <xdr:cNvPr id="282074" name="bpmDropDownFLU1312" hidden="1">
              <a:extLst>
                <a:ext uri="{63B3BB69-23CF-44E3-9099-C40C66FF867C}">
                  <a14:compatExt spid="_x0000_s282074"/>
                </a:ext>
                <a:ext uri="{FF2B5EF4-FFF2-40B4-BE49-F238E27FC236}">
                  <a16:creationId xmlns:a16="http://schemas.microsoft.com/office/drawing/2014/main" id="{00000000-0008-0000-1D00-0000DA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245</xdr:row>
          <xdr:rowOff>0</xdr:rowOff>
        </xdr:from>
        <xdr:to>
          <xdr:col>7</xdr:col>
          <xdr:colOff>0</xdr:colOff>
          <xdr:row>246</xdr:row>
          <xdr:rowOff>0</xdr:rowOff>
        </xdr:to>
        <xdr:sp macro="" textlink="">
          <xdr:nvSpPr>
            <xdr:cNvPr id="282075" name="bpmDropDownFLU1313" hidden="1">
              <a:extLst>
                <a:ext uri="{63B3BB69-23CF-44E3-9099-C40C66FF867C}">
                  <a14:compatExt spid="_x0000_s282075"/>
                </a:ext>
                <a:ext uri="{FF2B5EF4-FFF2-40B4-BE49-F238E27FC236}">
                  <a16:creationId xmlns:a16="http://schemas.microsoft.com/office/drawing/2014/main" id="{00000000-0008-0000-1D00-0000DB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xdr:row>
          <xdr:rowOff>0</xdr:rowOff>
        </xdr:from>
        <xdr:to>
          <xdr:col>7</xdr:col>
          <xdr:colOff>0</xdr:colOff>
          <xdr:row>247</xdr:row>
          <xdr:rowOff>0</xdr:rowOff>
        </xdr:to>
        <xdr:sp macro="" textlink="">
          <xdr:nvSpPr>
            <xdr:cNvPr id="282076" name="bpmDropDownFLU1314" hidden="1">
              <a:extLst>
                <a:ext uri="{63B3BB69-23CF-44E3-9099-C40C66FF867C}">
                  <a14:compatExt spid="_x0000_s282076"/>
                </a:ext>
                <a:ext uri="{FF2B5EF4-FFF2-40B4-BE49-F238E27FC236}">
                  <a16:creationId xmlns:a16="http://schemas.microsoft.com/office/drawing/2014/main" id="{00000000-0008-0000-1D00-0000DC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7</xdr:col>
          <xdr:colOff>0</xdr:colOff>
          <xdr:row>248</xdr:row>
          <xdr:rowOff>0</xdr:rowOff>
        </xdr:to>
        <xdr:sp macro="" textlink="">
          <xdr:nvSpPr>
            <xdr:cNvPr id="282077" name="bpmDropDownFLU1315" hidden="1">
              <a:extLst>
                <a:ext uri="{63B3BB69-23CF-44E3-9099-C40C66FF867C}">
                  <a14:compatExt spid="_x0000_s282077"/>
                </a:ext>
                <a:ext uri="{FF2B5EF4-FFF2-40B4-BE49-F238E27FC236}">
                  <a16:creationId xmlns:a16="http://schemas.microsoft.com/office/drawing/2014/main" id="{00000000-0008-0000-1D00-0000DD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248</xdr:row>
          <xdr:rowOff>0</xdr:rowOff>
        </xdr:from>
        <xdr:to>
          <xdr:col>7</xdr:col>
          <xdr:colOff>0</xdr:colOff>
          <xdr:row>249</xdr:row>
          <xdr:rowOff>0</xdr:rowOff>
        </xdr:to>
        <xdr:sp macro="" textlink="">
          <xdr:nvSpPr>
            <xdr:cNvPr id="282078" name="bpmDropDownFLU1316" hidden="1">
              <a:extLst>
                <a:ext uri="{63B3BB69-23CF-44E3-9099-C40C66FF867C}">
                  <a14:compatExt spid="_x0000_s282078"/>
                </a:ext>
                <a:ext uri="{FF2B5EF4-FFF2-40B4-BE49-F238E27FC236}">
                  <a16:creationId xmlns:a16="http://schemas.microsoft.com/office/drawing/2014/main" id="{00000000-0008-0000-1D00-0000DE4D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12</xdr:col>
      <xdr:colOff>847725</xdr:colOff>
      <xdr:row>0</xdr:row>
      <xdr:rowOff>76200</xdr:rowOff>
    </xdr:from>
    <xdr:to>
      <xdr:col>13</xdr:col>
      <xdr:colOff>476250</xdr:colOff>
      <xdr:row>2</xdr:row>
      <xdr:rowOff>85725</xdr:rowOff>
    </xdr:to>
    <xdr:pic>
      <xdr:nvPicPr>
        <xdr:cNvPr id="2" name="Picture 2">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7"/>
        <a:stretch>
          <a:fillRect/>
        </a:stretch>
      </xdr:blipFill>
      <xdr:spPr>
        <a:xfrm>
          <a:off x="9877425" y="76200"/>
          <a:ext cx="514350" cy="5143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470313" name="bpmDropDownFLU782" hidden="1">
              <a:extLst>
                <a:ext uri="{63B3BB69-23CF-44E3-9099-C40C66FF867C}">
                  <a14:compatExt spid="_x0000_s470313"/>
                </a:ext>
                <a:ext uri="{FF2B5EF4-FFF2-40B4-BE49-F238E27FC236}">
                  <a16:creationId xmlns:a16="http://schemas.microsoft.com/office/drawing/2014/main" id="{00000000-0008-0000-1E00-00002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470314" name="bpmDropDownFLU783" hidden="1">
              <a:extLst>
                <a:ext uri="{63B3BB69-23CF-44E3-9099-C40C66FF867C}">
                  <a14:compatExt spid="_x0000_s470314"/>
                </a:ext>
                <a:ext uri="{FF2B5EF4-FFF2-40B4-BE49-F238E27FC236}">
                  <a16:creationId xmlns:a16="http://schemas.microsoft.com/office/drawing/2014/main" id="{00000000-0008-0000-1E00-00002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470315" name="bpmDropDownFLU784" hidden="1">
              <a:extLst>
                <a:ext uri="{63B3BB69-23CF-44E3-9099-C40C66FF867C}">
                  <a14:compatExt spid="_x0000_s470315"/>
                </a:ext>
                <a:ext uri="{FF2B5EF4-FFF2-40B4-BE49-F238E27FC236}">
                  <a16:creationId xmlns:a16="http://schemas.microsoft.com/office/drawing/2014/main" id="{00000000-0008-0000-1E00-00002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470316" name="bpmDropDownFLU785" hidden="1">
              <a:extLst>
                <a:ext uri="{63B3BB69-23CF-44E3-9099-C40C66FF867C}">
                  <a14:compatExt spid="_x0000_s470316"/>
                </a:ext>
                <a:ext uri="{FF2B5EF4-FFF2-40B4-BE49-F238E27FC236}">
                  <a16:creationId xmlns:a16="http://schemas.microsoft.com/office/drawing/2014/main" id="{00000000-0008-0000-1E00-00002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470317" name="bpmDropDownFLU786" hidden="1">
              <a:extLst>
                <a:ext uri="{63B3BB69-23CF-44E3-9099-C40C66FF867C}">
                  <a14:compatExt spid="_x0000_s470317"/>
                </a:ext>
                <a:ext uri="{FF2B5EF4-FFF2-40B4-BE49-F238E27FC236}">
                  <a16:creationId xmlns:a16="http://schemas.microsoft.com/office/drawing/2014/main" id="{00000000-0008-0000-1E00-00002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470318" name="bpmDropDownFLU787" hidden="1">
              <a:extLst>
                <a:ext uri="{63B3BB69-23CF-44E3-9099-C40C66FF867C}">
                  <a14:compatExt spid="_x0000_s470318"/>
                </a:ext>
                <a:ext uri="{FF2B5EF4-FFF2-40B4-BE49-F238E27FC236}">
                  <a16:creationId xmlns:a16="http://schemas.microsoft.com/office/drawing/2014/main" id="{00000000-0008-0000-1E00-00002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470319" name="bpmDropDownFLU788" hidden="1">
              <a:extLst>
                <a:ext uri="{63B3BB69-23CF-44E3-9099-C40C66FF867C}">
                  <a14:compatExt spid="_x0000_s470319"/>
                </a:ext>
                <a:ext uri="{FF2B5EF4-FFF2-40B4-BE49-F238E27FC236}">
                  <a16:creationId xmlns:a16="http://schemas.microsoft.com/office/drawing/2014/main" id="{00000000-0008-0000-1E00-00002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470320" name="bpmDropDownFLU789" hidden="1">
              <a:extLst>
                <a:ext uri="{63B3BB69-23CF-44E3-9099-C40C66FF867C}">
                  <a14:compatExt spid="_x0000_s470320"/>
                </a:ext>
                <a:ext uri="{FF2B5EF4-FFF2-40B4-BE49-F238E27FC236}">
                  <a16:creationId xmlns:a16="http://schemas.microsoft.com/office/drawing/2014/main" id="{00000000-0008-0000-1E00-00003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470322" name="bpmDropDownFLU791" hidden="1">
              <a:extLst>
                <a:ext uri="{63B3BB69-23CF-44E3-9099-C40C66FF867C}">
                  <a14:compatExt spid="_x0000_s470322"/>
                </a:ext>
                <a:ext uri="{FF2B5EF4-FFF2-40B4-BE49-F238E27FC236}">
                  <a16:creationId xmlns:a16="http://schemas.microsoft.com/office/drawing/2014/main" id="{00000000-0008-0000-1E00-00003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470323" name="bpmDropDownFLU792" hidden="1">
              <a:extLst>
                <a:ext uri="{63B3BB69-23CF-44E3-9099-C40C66FF867C}">
                  <a14:compatExt spid="_x0000_s470323"/>
                </a:ext>
                <a:ext uri="{FF2B5EF4-FFF2-40B4-BE49-F238E27FC236}">
                  <a16:creationId xmlns:a16="http://schemas.microsoft.com/office/drawing/2014/main" id="{00000000-0008-0000-1E00-00003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470324" name="bpmDropDownFLU793" hidden="1">
              <a:extLst>
                <a:ext uri="{63B3BB69-23CF-44E3-9099-C40C66FF867C}">
                  <a14:compatExt spid="_x0000_s470324"/>
                </a:ext>
                <a:ext uri="{FF2B5EF4-FFF2-40B4-BE49-F238E27FC236}">
                  <a16:creationId xmlns:a16="http://schemas.microsoft.com/office/drawing/2014/main" id="{00000000-0008-0000-1E00-00003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470325" name="bpmDropDownFLU794" hidden="1">
              <a:extLst>
                <a:ext uri="{63B3BB69-23CF-44E3-9099-C40C66FF867C}">
                  <a14:compatExt spid="_x0000_s470325"/>
                </a:ext>
                <a:ext uri="{FF2B5EF4-FFF2-40B4-BE49-F238E27FC236}">
                  <a16:creationId xmlns:a16="http://schemas.microsoft.com/office/drawing/2014/main" id="{00000000-0008-0000-1E00-00003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470326" name="bpmDropDownFLU795" hidden="1">
              <a:extLst>
                <a:ext uri="{63B3BB69-23CF-44E3-9099-C40C66FF867C}">
                  <a14:compatExt spid="_x0000_s470326"/>
                </a:ext>
                <a:ext uri="{FF2B5EF4-FFF2-40B4-BE49-F238E27FC236}">
                  <a16:creationId xmlns:a16="http://schemas.microsoft.com/office/drawing/2014/main" id="{00000000-0008-0000-1E00-00003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470327" name="bpmDropDownFLU796" hidden="1">
              <a:extLst>
                <a:ext uri="{63B3BB69-23CF-44E3-9099-C40C66FF867C}">
                  <a14:compatExt spid="_x0000_s470327"/>
                </a:ext>
                <a:ext uri="{FF2B5EF4-FFF2-40B4-BE49-F238E27FC236}">
                  <a16:creationId xmlns:a16="http://schemas.microsoft.com/office/drawing/2014/main" id="{00000000-0008-0000-1E00-00003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7</xdr:col>
          <xdr:colOff>0</xdr:colOff>
          <xdr:row>30</xdr:row>
          <xdr:rowOff>0</xdr:rowOff>
        </xdr:to>
        <xdr:sp macro="" textlink="">
          <xdr:nvSpPr>
            <xdr:cNvPr id="470328" name="bpmDropDownFLU797" hidden="1">
              <a:extLst>
                <a:ext uri="{63B3BB69-23CF-44E3-9099-C40C66FF867C}">
                  <a14:compatExt spid="_x0000_s470328"/>
                </a:ext>
                <a:ext uri="{FF2B5EF4-FFF2-40B4-BE49-F238E27FC236}">
                  <a16:creationId xmlns:a16="http://schemas.microsoft.com/office/drawing/2014/main" id="{00000000-0008-0000-1E00-00003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470329" name="bpmDropDownFLU798" hidden="1">
              <a:extLst>
                <a:ext uri="{63B3BB69-23CF-44E3-9099-C40C66FF867C}">
                  <a14:compatExt spid="_x0000_s470329"/>
                </a:ext>
                <a:ext uri="{FF2B5EF4-FFF2-40B4-BE49-F238E27FC236}">
                  <a16:creationId xmlns:a16="http://schemas.microsoft.com/office/drawing/2014/main" id="{00000000-0008-0000-1E00-00003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470330" name="bpmDropDownFLU855" hidden="1">
              <a:extLst>
                <a:ext uri="{63B3BB69-23CF-44E3-9099-C40C66FF867C}">
                  <a14:compatExt spid="_x0000_s470330"/>
                </a:ext>
                <a:ext uri="{FF2B5EF4-FFF2-40B4-BE49-F238E27FC236}">
                  <a16:creationId xmlns:a16="http://schemas.microsoft.com/office/drawing/2014/main" id="{00000000-0008-0000-1E00-00003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470331" name="bpmDropDownFLU856" hidden="1">
              <a:extLst>
                <a:ext uri="{63B3BB69-23CF-44E3-9099-C40C66FF867C}">
                  <a14:compatExt spid="_x0000_s470331"/>
                </a:ext>
                <a:ext uri="{FF2B5EF4-FFF2-40B4-BE49-F238E27FC236}">
                  <a16:creationId xmlns:a16="http://schemas.microsoft.com/office/drawing/2014/main" id="{00000000-0008-0000-1E00-00003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470332" name="bpmDropDownFLU857" hidden="1">
              <a:extLst>
                <a:ext uri="{63B3BB69-23CF-44E3-9099-C40C66FF867C}">
                  <a14:compatExt spid="_x0000_s470332"/>
                </a:ext>
                <a:ext uri="{FF2B5EF4-FFF2-40B4-BE49-F238E27FC236}">
                  <a16:creationId xmlns:a16="http://schemas.microsoft.com/office/drawing/2014/main" id="{00000000-0008-0000-1E00-00003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470333" name="bpmDropDownFLU858" hidden="1">
              <a:extLst>
                <a:ext uri="{63B3BB69-23CF-44E3-9099-C40C66FF867C}">
                  <a14:compatExt spid="_x0000_s470333"/>
                </a:ext>
                <a:ext uri="{FF2B5EF4-FFF2-40B4-BE49-F238E27FC236}">
                  <a16:creationId xmlns:a16="http://schemas.microsoft.com/office/drawing/2014/main" id="{00000000-0008-0000-1E00-00003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7</xdr:col>
          <xdr:colOff>0</xdr:colOff>
          <xdr:row>40</xdr:row>
          <xdr:rowOff>0</xdr:rowOff>
        </xdr:to>
        <xdr:sp macro="" textlink="">
          <xdr:nvSpPr>
            <xdr:cNvPr id="470334" name="bpmDropDownFLU859" hidden="1">
              <a:extLst>
                <a:ext uri="{63B3BB69-23CF-44E3-9099-C40C66FF867C}">
                  <a14:compatExt spid="_x0000_s470334"/>
                </a:ext>
                <a:ext uri="{FF2B5EF4-FFF2-40B4-BE49-F238E27FC236}">
                  <a16:creationId xmlns:a16="http://schemas.microsoft.com/office/drawing/2014/main" id="{00000000-0008-0000-1E00-00003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470335" name="bpmDropDownFLU860" hidden="1">
              <a:extLst>
                <a:ext uri="{63B3BB69-23CF-44E3-9099-C40C66FF867C}">
                  <a14:compatExt spid="_x0000_s470335"/>
                </a:ext>
                <a:ext uri="{FF2B5EF4-FFF2-40B4-BE49-F238E27FC236}">
                  <a16:creationId xmlns:a16="http://schemas.microsoft.com/office/drawing/2014/main" id="{00000000-0008-0000-1E00-00003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470336" name="bpmDropDownFLU861" hidden="1">
              <a:extLst>
                <a:ext uri="{63B3BB69-23CF-44E3-9099-C40C66FF867C}">
                  <a14:compatExt spid="_x0000_s470336"/>
                </a:ext>
                <a:ext uri="{FF2B5EF4-FFF2-40B4-BE49-F238E27FC236}">
                  <a16:creationId xmlns:a16="http://schemas.microsoft.com/office/drawing/2014/main" id="{00000000-0008-0000-1E00-00004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470338" name="bpmDropDownFLU863" hidden="1">
              <a:extLst>
                <a:ext uri="{63B3BB69-23CF-44E3-9099-C40C66FF867C}">
                  <a14:compatExt spid="_x0000_s470338"/>
                </a:ext>
                <a:ext uri="{FF2B5EF4-FFF2-40B4-BE49-F238E27FC236}">
                  <a16:creationId xmlns:a16="http://schemas.microsoft.com/office/drawing/2014/main" id="{00000000-0008-0000-1E00-00004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7</xdr:col>
          <xdr:colOff>0</xdr:colOff>
          <xdr:row>44</xdr:row>
          <xdr:rowOff>0</xdr:rowOff>
        </xdr:to>
        <xdr:sp macro="" textlink="">
          <xdr:nvSpPr>
            <xdr:cNvPr id="470339" name="bpmDropDownFLU864" hidden="1">
              <a:extLst>
                <a:ext uri="{63B3BB69-23CF-44E3-9099-C40C66FF867C}">
                  <a14:compatExt spid="_x0000_s470339"/>
                </a:ext>
                <a:ext uri="{FF2B5EF4-FFF2-40B4-BE49-F238E27FC236}">
                  <a16:creationId xmlns:a16="http://schemas.microsoft.com/office/drawing/2014/main" id="{00000000-0008-0000-1E00-00004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7</xdr:col>
          <xdr:colOff>0</xdr:colOff>
          <xdr:row>45</xdr:row>
          <xdr:rowOff>0</xdr:rowOff>
        </xdr:to>
        <xdr:sp macro="" textlink="">
          <xdr:nvSpPr>
            <xdr:cNvPr id="470340" name="bpmDropDownFLU865" hidden="1">
              <a:extLst>
                <a:ext uri="{63B3BB69-23CF-44E3-9099-C40C66FF867C}">
                  <a14:compatExt spid="_x0000_s470340"/>
                </a:ext>
                <a:ext uri="{FF2B5EF4-FFF2-40B4-BE49-F238E27FC236}">
                  <a16:creationId xmlns:a16="http://schemas.microsoft.com/office/drawing/2014/main" id="{00000000-0008-0000-1E00-00004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7</xdr:col>
          <xdr:colOff>0</xdr:colOff>
          <xdr:row>46</xdr:row>
          <xdr:rowOff>0</xdr:rowOff>
        </xdr:to>
        <xdr:sp macro="" textlink="">
          <xdr:nvSpPr>
            <xdr:cNvPr id="470341" name="bpmDropDownFLU866" hidden="1">
              <a:extLst>
                <a:ext uri="{63B3BB69-23CF-44E3-9099-C40C66FF867C}">
                  <a14:compatExt spid="_x0000_s470341"/>
                </a:ext>
                <a:ext uri="{FF2B5EF4-FFF2-40B4-BE49-F238E27FC236}">
                  <a16:creationId xmlns:a16="http://schemas.microsoft.com/office/drawing/2014/main" id="{00000000-0008-0000-1E00-00004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7</xdr:col>
          <xdr:colOff>0</xdr:colOff>
          <xdr:row>47</xdr:row>
          <xdr:rowOff>0</xdr:rowOff>
        </xdr:to>
        <xdr:sp macro="" textlink="">
          <xdr:nvSpPr>
            <xdr:cNvPr id="470342" name="bpmDropDownFLU867" hidden="1">
              <a:extLst>
                <a:ext uri="{63B3BB69-23CF-44E3-9099-C40C66FF867C}">
                  <a14:compatExt spid="_x0000_s470342"/>
                </a:ext>
                <a:ext uri="{FF2B5EF4-FFF2-40B4-BE49-F238E27FC236}">
                  <a16:creationId xmlns:a16="http://schemas.microsoft.com/office/drawing/2014/main" id="{00000000-0008-0000-1E00-00004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470343" name="bpmDropDownFLU868" hidden="1">
              <a:extLst>
                <a:ext uri="{63B3BB69-23CF-44E3-9099-C40C66FF867C}">
                  <a14:compatExt spid="_x0000_s470343"/>
                </a:ext>
                <a:ext uri="{FF2B5EF4-FFF2-40B4-BE49-F238E27FC236}">
                  <a16:creationId xmlns:a16="http://schemas.microsoft.com/office/drawing/2014/main" id="{00000000-0008-0000-1E00-00004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470344" name="bpmDropDownFLU869" hidden="1">
              <a:extLst>
                <a:ext uri="{63B3BB69-23CF-44E3-9099-C40C66FF867C}">
                  <a14:compatExt spid="_x0000_s470344"/>
                </a:ext>
                <a:ext uri="{FF2B5EF4-FFF2-40B4-BE49-F238E27FC236}">
                  <a16:creationId xmlns:a16="http://schemas.microsoft.com/office/drawing/2014/main" id="{00000000-0008-0000-1E00-00004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7</xdr:col>
          <xdr:colOff>0</xdr:colOff>
          <xdr:row>54</xdr:row>
          <xdr:rowOff>0</xdr:rowOff>
        </xdr:to>
        <xdr:sp macro="" textlink="">
          <xdr:nvSpPr>
            <xdr:cNvPr id="470345" name="bpmDropDownFLU870" hidden="1">
              <a:extLst>
                <a:ext uri="{63B3BB69-23CF-44E3-9099-C40C66FF867C}">
                  <a14:compatExt spid="_x0000_s470345"/>
                </a:ext>
                <a:ext uri="{FF2B5EF4-FFF2-40B4-BE49-F238E27FC236}">
                  <a16:creationId xmlns:a16="http://schemas.microsoft.com/office/drawing/2014/main" id="{00000000-0008-0000-1E00-00004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7</xdr:col>
          <xdr:colOff>0</xdr:colOff>
          <xdr:row>55</xdr:row>
          <xdr:rowOff>0</xdr:rowOff>
        </xdr:to>
        <xdr:sp macro="" textlink="">
          <xdr:nvSpPr>
            <xdr:cNvPr id="470346" name="bpmDropDownFLU871" hidden="1">
              <a:extLst>
                <a:ext uri="{63B3BB69-23CF-44E3-9099-C40C66FF867C}">
                  <a14:compatExt spid="_x0000_s470346"/>
                </a:ext>
                <a:ext uri="{FF2B5EF4-FFF2-40B4-BE49-F238E27FC236}">
                  <a16:creationId xmlns:a16="http://schemas.microsoft.com/office/drawing/2014/main" id="{00000000-0008-0000-1E00-00004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470347" name="bpmDropDownFLU872" hidden="1">
              <a:extLst>
                <a:ext uri="{63B3BB69-23CF-44E3-9099-C40C66FF867C}">
                  <a14:compatExt spid="_x0000_s470347"/>
                </a:ext>
                <a:ext uri="{FF2B5EF4-FFF2-40B4-BE49-F238E27FC236}">
                  <a16:creationId xmlns:a16="http://schemas.microsoft.com/office/drawing/2014/main" id="{00000000-0008-0000-1E00-00004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7</xdr:col>
          <xdr:colOff>0</xdr:colOff>
          <xdr:row>57</xdr:row>
          <xdr:rowOff>0</xdr:rowOff>
        </xdr:to>
        <xdr:sp macro="" textlink="">
          <xdr:nvSpPr>
            <xdr:cNvPr id="470348" name="bpmDropDownFLU873" hidden="1">
              <a:extLst>
                <a:ext uri="{63B3BB69-23CF-44E3-9099-C40C66FF867C}">
                  <a14:compatExt spid="_x0000_s470348"/>
                </a:ext>
                <a:ext uri="{FF2B5EF4-FFF2-40B4-BE49-F238E27FC236}">
                  <a16:creationId xmlns:a16="http://schemas.microsoft.com/office/drawing/2014/main" id="{00000000-0008-0000-1E00-00004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0</xdr:rowOff>
        </xdr:to>
        <xdr:sp macro="" textlink="">
          <xdr:nvSpPr>
            <xdr:cNvPr id="470349" name="bpmDropDownFLU874" hidden="1">
              <a:extLst>
                <a:ext uri="{63B3BB69-23CF-44E3-9099-C40C66FF867C}">
                  <a14:compatExt spid="_x0000_s470349"/>
                </a:ext>
                <a:ext uri="{FF2B5EF4-FFF2-40B4-BE49-F238E27FC236}">
                  <a16:creationId xmlns:a16="http://schemas.microsoft.com/office/drawing/2014/main" id="{00000000-0008-0000-1E00-00004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7</xdr:col>
          <xdr:colOff>0</xdr:colOff>
          <xdr:row>59</xdr:row>
          <xdr:rowOff>0</xdr:rowOff>
        </xdr:to>
        <xdr:sp macro="" textlink="">
          <xdr:nvSpPr>
            <xdr:cNvPr id="470350" name="bpmDropDownFLU875" hidden="1">
              <a:extLst>
                <a:ext uri="{63B3BB69-23CF-44E3-9099-C40C66FF867C}">
                  <a14:compatExt spid="_x0000_s470350"/>
                </a:ext>
                <a:ext uri="{FF2B5EF4-FFF2-40B4-BE49-F238E27FC236}">
                  <a16:creationId xmlns:a16="http://schemas.microsoft.com/office/drawing/2014/main" id="{00000000-0008-0000-1E00-00004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7</xdr:col>
          <xdr:colOff>0</xdr:colOff>
          <xdr:row>60</xdr:row>
          <xdr:rowOff>0</xdr:rowOff>
        </xdr:to>
        <xdr:sp macro="" textlink="">
          <xdr:nvSpPr>
            <xdr:cNvPr id="470351" name="bpmDropDownFLU876" hidden="1">
              <a:extLst>
                <a:ext uri="{63B3BB69-23CF-44E3-9099-C40C66FF867C}">
                  <a14:compatExt spid="_x0000_s470351"/>
                </a:ext>
                <a:ext uri="{FF2B5EF4-FFF2-40B4-BE49-F238E27FC236}">
                  <a16:creationId xmlns:a16="http://schemas.microsoft.com/office/drawing/2014/main" id="{00000000-0008-0000-1E00-00004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470352" name="bpmDropDownFLU877" hidden="1">
              <a:extLst>
                <a:ext uri="{63B3BB69-23CF-44E3-9099-C40C66FF867C}">
                  <a14:compatExt spid="_x0000_s470352"/>
                </a:ext>
                <a:ext uri="{FF2B5EF4-FFF2-40B4-BE49-F238E27FC236}">
                  <a16:creationId xmlns:a16="http://schemas.microsoft.com/office/drawing/2014/main" id="{00000000-0008-0000-1E00-00005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470354" name="bpmDropDownFLU879" hidden="1">
              <a:extLst>
                <a:ext uri="{63B3BB69-23CF-44E3-9099-C40C66FF867C}">
                  <a14:compatExt spid="_x0000_s470354"/>
                </a:ext>
                <a:ext uri="{FF2B5EF4-FFF2-40B4-BE49-F238E27FC236}">
                  <a16:creationId xmlns:a16="http://schemas.microsoft.com/office/drawing/2014/main" id="{00000000-0008-0000-1E00-00005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470355" name="bpmDropDownFLU880" hidden="1">
              <a:extLst>
                <a:ext uri="{63B3BB69-23CF-44E3-9099-C40C66FF867C}">
                  <a14:compatExt spid="_x0000_s470355"/>
                </a:ext>
                <a:ext uri="{FF2B5EF4-FFF2-40B4-BE49-F238E27FC236}">
                  <a16:creationId xmlns:a16="http://schemas.microsoft.com/office/drawing/2014/main" id="{00000000-0008-0000-1E00-00005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470356" name="bpmDropDownFLU881" hidden="1">
              <a:extLst>
                <a:ext uri="{63B3BB69-23CF-44E3-9099-C40C66FF867C}">
                  <a14:compatExt spid="_x0000_s470356"/>
                </a:ext>
                <a:ext uri="{FF2B5EF4-FFF2-40B4-BE49-F238E27FC236}">
                  <a16:creationId xmlns:a16="http://schemas.microsoft.com/office/drawing/2014/main" id="{00000000-0008-0000-1E00-00005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470357" name="bpmDropDownFLU882" hidden="1">
              <a:extLst>
                <a:ext uri="{63B3BB69-23CF-44E3-9099-C40C66FF867C}">
                  <a14:compatExt spid="_x0000_s470357"/>
                </a:ext>
                <a:ext uri="{FF2B5EF4-FFF2-40B4-BE49-F238E27FC236}">
                  <a16:creationId xmlns:a16="http://schemas.microsoft.com/office/drawing/2014/main" id="{00000000-0008-0000-1E00-00005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470358" name="bpmDropDownFLU908" hidden="1">
              <a:extLst>
                <a:ext uri="{63B3BB69-23CF-44E3-9099-C40C66FF867C}">
                  <a14:compatExt spid="_x0000_s470358"/>
                </a:ext>
                <a:ext uri="{FF2B5EF4-FFF2-40B4-BE49-F238E27FC236}">
                  <a16:creationId xmlns:a16="http://schemas.microsoft.com/office/drawing/2014/main" id="{00000000-0008-0000-1E00-00005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7</xdr:col>
          <xdr:colOff>0</xdr:colOff>
          <xdr:row>67</xdr:row>
          <xdr:rowOff>0</xdr:rowOff>
        </xdr:to>
        <xdr:sp macro="" textlink="">
          <xdr:nvSpPr>
            <xdr:cNvPr id="470359" name="bpmDropDownFLU909" hidden="1">
              <a:extLst>
                <a:ext uri="{63B3BB69-23CF-44E3-9099-C40C66FF867C}">
                  <a14:compatExt spid="_x0000_s470359"/>
                </a:ext>
                <a:ext uri="{FF2B5EF4-FFF2-40B4-BE49-F238E27FC236}">
                  <a16:creationId xmlns:a16="http://schemas.microsoft.com/office/drawing/2014/main" id="{00000000-0008-0000-1E00-00005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7</xdr:col>
          <xdr:colOff>0</xdr:colOff>
          <xdr:row>68</xdr:row>
          <xdr:rowOff>0</xdr:rowOff>
        </xdr:to>
        <xdr:sp macro="" textlink="">
          <xdr:nvSpPr>
            <xdr:cNvPr id="470360" name="bpmDropDownFLU910" hidden="1">
              <a:extLst>
                <a:ext uri="{63B3BB69-23CF-44E3-9099-C40C66FF867C}">
                  <a14:compatExt spid="_x0000_s470360"/>
                </a:ext>
                <a:ext uri="{FF2B5EF4-FFF2-40B4-BE49-F238E27FC236}">
                  <a16:creationId xmlns:a16="http://schemas.microsoft.com/office/drawing/2014/main" id="{00000000-0008-0000-1E00-00005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7</xdr:col>
          <xdr:colOff>0</xdr:colOff>
          <xdr:row>73</xdr:row>
          <xdr:rowOff>0</xdr:rowOff>
        </xdr:to>
        <xdr:sp macro="" textlink="">
          <xdr:nvSpPr>
            <xdr:cNvPr id="470361" name="bpmDropDownFLU911" hidden="1">
              <a:extLst>
                <a:ext uri="{63B3BB69-23CF-44E3-9099-C40C66FF867C}">
                  <a14:compatExt spid="_x0000_s470361"/>
                </a:ext>
                <a:ext uri="{FF2B5EF4-FFF2-40B4-BE49-F238E27FC236}">
                  <a16:creationId xmlns:a16="http://schemas.microsoft.com/office/drawing/2014/main" id="{00000000-0008-0000-1E00-00005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7</xdr:col>
          <xdr:colOff>0</xdr:colOff>
          <xdr:row>74</xdr:row>
          <xdr:rowOff>0</xdr:rowOff>
        </xdr:to>
        <xdr:sp macro="" textlink="">
          <xdr:nvSpPr>
            <xdr:cNvPr id="470362" name="bpmDropDownFLU912" hidden="1">
              <a:extLst>
                <a:ext uri="{63B3BB69-23CF-44E3-9099-C40C66FF867C}">
                  <a14:compatExt spid="_x0000_s470362"/>
                </a:ext>
                <a:ext uri="{FF2B5EF4-FFF2-40B4-BE49-F238E27FC236}">
                  <a16:creationId xmlns:a16="http://schemas.microsoft.com/office/drawing/2014/main" id="{00000000-0008-0000-1E00-00005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7</xdr:col>
          <xdr:colOff>0</xdr:colOff>
          <xdr:row>75</xdr:row>
          <xdr:rowOff>0</xdr:rowOff>
        </xdr:to>
        <xdr:sp macro="" textlink="">
          <xdr:nvSpPr>
            <xdr:cNvPr id="470363" name="bpmDropDownFLU913" hidden="1">
              <a:extLst>
                <a:ext uri="{63B3BB69-23CF-44E3-9099-C40C66FF867C}">
                  <a14:compatExt spid="_x0000_s470363"/>
                </a:ext>
                <a:ext uri="{FF2B5EF4-FFF2-40B4-BE49-F238E27FC236}">
                  <a16:creationId xmlns:a16="http://schemas.microsoft.com/office/drawing/2014/main" id="{00000000-0008-0000-1E00-00005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7</xdr:col>
          <xdr:colOff>0</xdr:colOff>
          <xdr:row>76</xdr:row>
          <xdr:rowOff>0</xdr:rowOff>
        </xdr:to>
        <xdr:sp macro="" textlink="">
          <xdr:nvSpPr>
            <xdr:cNvPr id="470364" name="bpmDropDownFLU914" hidden="1">
              <a:extLst>
                <a:ext uri="{63B3BB69-23CF-44E3-9099-C40C66FF867C}">
                  <a14:compatExt spid="_x0000_s470364"/>
                </a:ext>
                <a:ext uri="{FF2B5EF4-FFF2-40B4-BE49-F238E27FC236}">
                  <a16:creationId xmlns:a16="http://schemas.microsoft.com/office/drawing/2014/main" id="{00000000-0008-0000-1E00-00005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7</xdr:col>
          <xdr:colOff>0</xdr:colOff>
          <xdr:row>77</xdr:row>
          <xdr:rowOff>0</xdr:rowOff>
        </xdr:to>
        <xdr:sp macro="" textlink="">
          <xdr:nvSpPr>
            <xdr:cNvPr id="470365" name="bpmDropDownFLU915" hidden="1">
              <a:extLst>
                <a:ext uri="{63B3BB69-23CF-44E3-9099-C40C66FF867C}">
                  <a14:compatExt spid="_x0000_s470365"/>
                </a:ext>
                <a:ext uri="{FF2B5EF4-FFF2-40B4-BE49-F238E27FC236}">
                  <a16:creationId xmlns:a16="http://schemas.microsoft.com/office/drawing/2014/main" id="{00000000-0008-0000-1E00-00005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7</xdr:col>
          <xdr:colOff>0</xdr:colOff>
          <xdr:row>78</xdr:row>
          <xdr:rowOff>0</xdr:rowOff>
        </xdr:to>
        <xdr:sp macro="" textlink="">
          <xdr:nvSpPr>
            <xdr:cNvPr id="470366" name="bpmDropDownFLU916" hidden="1">
              <a:extLst>
                <a:ext uri="{63B3BB69-23CF-44E3-9099-C40C66FF867C}">
                  <a14:compatExt spid="_x0000_s470366"/>
                </a:ext>
                <a:ext uri="{FF2B5EF4-FFF2-40B4-BE49-F238E27FC236}">
                  <a16:creationId xmlns:a16="http://schemas.microsoft.com/office/drawing/2014/main" id="{00000000-0008-0000-1E00-00005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7</xdr:col>
          <xdr:colOff>0</xdr:colOff>
          <xdr:row>79</xdr:row>
          <xdr:rowOff>0</xdr:rowOff>
        </xdr:to>
        <xdr:sp macro="" textlink="">
          <xdr:nvSpPr>
            <xdr:cNvPr id="470367" name="bpmDropDownFLU917" hidden="1">
              <a:extLst>
                <a:ext uri="{63B3BB69-23CF-44E3-9099-C40C66FF867C}">
                  <a14:compatExt spid="_x0000_s470367"/>
                </a:ext>
                <a:ext uri="{FF2B5EF4-FFF2-40B4-BE49-F238E27FC236}">
                  <a16:creationId xmlns:a16="http://schemas.microsoft.com/office/drawing/2014/main" id="{00000000-0008-0000-1E00-00005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7</xdr:col>
          <xdr:colOff>0</xdr:colOff>
          <xdr:row>80</xdr:row>
          <xdr:rowOff>0</xdr:rowOff>
        </xdr:to>
        <xdr:sp macro="" textlink="">
          <xdr:nvSpPr>
            <xdr:cNvPr id="470368" name="bpmDropDownFLU918" hidden="1">
              <a:extLst>
                <a:ext uri="{63B3BB69-23CF-44E3-9099-C40C66FF867C}">
                  <a14:compatExt spid="_x0000_s470368"/>
                </a:ext>
                <a:ext uri="{FF2B5EF4-FFF2-40B4-BE49-F238E27FC236}">
                  <a16:creationId xmlns:a16="http://schemas.microsoft.com/office/drawing/2014/main" id="{00000000-0008-0000-1E00-00006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470370" name="bpmDropDownFLU920" hidden="1">
              <a:extLst>
                <a:ext uri="{63B3BB69-23CF-44E3-9099-C40C66FF867C}">
                  <a14:compatExt spid="_x0000_s470370"/>
                </a:ext>
                <a:ext uri="{FF2B5EF4-FFF2-40B4-BE49-F238E27FC236}">
                  <a16:creationId xmlns:a16="http://schemas.microsoft.com/office/drawing/2014/main" id="{00000000-0008-0000-1E00-00006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470371" name="bpmDropDownFLU921" hidden="1">
              <a:extLst>
                <a:ext uri="{63B3BB69-23CF-44E3-9099-C40C66FF867C}">
                  <a14:compatExt spid="_x0000_s470371"/>
                </a:ext>
                <a:ext uri="{FF2B5EF4-FFF2-40B4-BE49-F238E27FC236}">
                  <a16:creationId xmlns:a16="http://schemas.microsoft.com/office/drawing/2014/main" id="{00000000-0008-0000-1E00-00006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470372" name="bpmDropDownFLU922" hidden="1">
              <a:extLst>
                <a:ext uri="{63B3BB69-23CF-44E3-9099-C40C66FF867C}">
                  <a14:compatExt spid="_x0000_s470372"/>
                </a:ext>
                <a:ext uri="{FF2B5EF4-FFF2-40B4-BE49-F238E27FC236}">
                  <a16:creationId xmlns:a16="http://schemas.microsoft.com/office/drawing/2014/main" id="{00000000-0008-0000-1E00-00006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7</xdr:col>
          <xdr:colOff>0</xdr:colOff>
          <xdr:row>84</xdr:row>
          <xdr:rowOff>0</xdr:rowOff>
        </xdr:to>
        <xdr:sp macro="" textlink="">
          <xdr:nvSpPr>
            <xdr:cNvPr id="470373" name="bpmDropDownFLU923" hidden="1">
              <a:extLst>
                <a:ext uri="{63B3BB69-23CF-44E3-9099-C40C66FF867C}">
                  <a14:compatExt spid="_x0000_s470373"/>
                </a:ext>
                <a:ext uri="{FF2B5EF4-FFF2-40B4-BE49-F238E27FC236}">
                  <a16:creationId xmlns:a16="http://schemas.microsoft.com/office/drawing/2014/main" id="{00000000-0008-0000-1E00-00006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470374" name="bpmDropDownFLU924" hidden="1">
              <a:extLst>
                <a:ext uri="{63B3BB69-23CF-44E3-9099-C40C66FF867C}">
                  <a14:compatExt spid="_x0000_s470374"/>
                </a:ext>
                <a:ext uri="{FF2B5EF4-FFF2-40B4-BE49-F238E27FC236}">
                  <a16:creationId xmlns:a16="http://schemas.microsoft.com/office/drawing/2014/main" id="{00000000-0008-0000-1E00-00006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7</xdr:col>
          <xdr:colOff>0</xdr:colOff>
          <xdr:row>86</xdr:row>
          <xdr:rowOff>0</xdr:rowOff>
        </xdr:to>
        <xdr:sp macro="" textlink="">
          <xdr:nvSpPr>
            <xdr:cNvPr id="470375" name="bpmDropDownFLU925" hidden="1">
              <a:extLst>
                <a:ext uri="{63B3BB69-23CF-44E3-9099-C40C66FF867C}">
                  <a14:compatExt spid="_x0000_s470375"/>
                </a:ext>
                <a:ext uri="{FF2B5EF4-FFF2-40B4-BE49-F238E27FC236}">
                  <a16:creationId xmlns:a16="http://schemas.microsoft.com/office/drawing/2014/main" id="{00000000-0008-0000-1E00-00006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470376" name="bpmDropDownFLU926" hidden="1">
              <a:extLst>
                <a:ext uri="{63B3BB69-23CF-44E3-9099-C40C66FF867C}">
                  <a14:compatExt spid="_x0000_s470376"/>
                </a:ext>
                <a:ext uri="{FF2B5EF4-FFF2-40B4-BE49-F238E27FC236}">
                  <a16:creationId xmlns:a16="http://schemas.microsoft.com/office/drawing/2014/main" id="{00000000-0008-0000-1E00-00006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7</xdr:col>
          <xdr:colOff>0</xdr:colOff>
          <xdr:row>99</xdr:row>
          <xdr:rowOff>0</xdr:rowOff>
        </xdr:to>
        <xdr:sp macro="" textlink="">
          <xdr:nvSpPr>
            <xdr:cNvPr id="470377" name="bpmDropDownFLU927" hidden="1">
              <a:extLst>
                <a:ext uri="{63B3BB69-23CF-44E3-9099-C40C66FF867C}">
                  <a14:compatExt spid="_x0000_s470377"/>
                </a:ext>
                <a:ext uri="{FF2B5EF4-FFF2-40B4-BE49-F238E27FC236}">
                  <a16:creationId xmlns:a16="http://schemas.microsoft.com/office/drawing/2014/main" id="{00000000-0008-0000-1E00-00006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470378" name="bpmDropDownFLU928" hidden="1">
              <a:extLst>
                <a:ext uri="{63B3BB69-23CF-44E3-9099-C40C66FF867C}">
                  <a14:compatExt spid="_x0000_s470378"/>
                </a:ext>
                <a:ext uri="{FF2B5EF4-FFF2-40B4-BE49-F238E27FC236}">
                  <a16:creationId xmlns:a16="http://schemas.microsoft.com/office/drawing/2014/main" id="{00000000-0008-0000-1E00-00006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470379" name="bpmDropDownFLU929" hidden="1">
              <a:extLst>
                <a:ext uri="{63B3BB69-23CF-44E3-9099-C40C66FF867C}">
                  <a14:compatExt spid="_x0000_s470379"/>
                </a:ext>
                <a:ext uri="{FF2B5EF4-FFF2-40B4-BE49-F238E27FC236}">
                  <a16:creationId xmlns:a16="http://schemas.microsoft.com/office/drawing/2014/main" id="{00000000-0008-0000-1E00-00006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470380" name="bpmDropDownFLU930" hidden="1">
              <a:extLst>
                <a:ext uri="{63B3BB69-23CF-44E3-9099-C40C66FF867C}">
                  <a14:compatExt spid="_x0000_s470380"/>
                </a:ext>
                <a:ext uri="{FF2B5EF4-FFF2-40B4-BE49-F238E27FC236}">
                  <a16:creationId xmlns:a16="http://schemas.microsoft.com/office/drawing/2014/main" id="{00000000-0008-0000-1E00-00006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470381" name="bpmDropDownFLU931" hidden="1">
              <a:extLst>
                <a:ext uri="{63B3BB69-23CF-44E3-9099-C40C66FF867C}">
                  <a14:compatExt spid="_x0000_s470381"/>
                </a:ext>
                <a:ext uri="{FF2B5EF4-FFF2-40B4-BE49-F238E27FC236}">
                  <a16:creationId xmlns:a16="http://schemas.microsoft.com/office/drawing/2014/main" id="{00000000-0008-0000-1E00-00006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470382" name="bpmDropDownFLU933" hidden="1">
              <a:extLst>
                <a:ext uri="{63B3BB69-23CF-44E3-9099-C40C66FF867C}">
                  <a14:compatExt spid="_x0000_s470382"/>
                </a:ext>
                <a:ext uri="{FF2B5EF4-FFF2-40B4-BE49-F238E27FC236}">
                  <a16:creationId xmlns:a16="http://schemas.microsoft.com/office/drawing/2014/main" id="{00000000-0008-0000-1E00-00006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470383" name="bpmDropDownFLU934" hidden="1">
              <a:extLst>
                <a:ext uri="{63B3BB69-23CF-44E3-9099-C40C66FF867C}">
                  <a14:compatExt spid="_x0000_s470383"/>
                </a:ext>
                <a:ext uri="{FF2B5EF4-FFF2-40B4-BE49-F238E27FC236}">
                  <a16:creationId xmlns:a16="http://schemas.microsoft.com/office/drawing/2014/main" id="{00000000-0008-0000-1E00-00006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470384" name="bpmDropDownFLU935" hidden="1">
              <a:extLst>
                <a:ext uri="{63B3BB69-23CF-44E3-9099-C40C66FF867C}">
                  <a14:compatExt spid="_x0000_s470384"/>
                </a:ext>
                <a:ext uri="{FF2B5EF4-FFF2-40B4-BE49-F238E27FC236}">
                  <a16:creationId xmlns:a16="http://schemas.microsoft.com/office/drawing/2014/main" id="{00000000-0008-0000-1E00-00007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470386" name="bpmDropDownFLU955" hidden="1">
              <a:extLst>
                <a:ext uri="{63B3BB69-23CF-44E3-9099-C40C66FF867C}">
                  <a14:compatExt spid="_x0000_s470386"/>
                </a:ext>
                <a:ext uri="{FF2B5EF4-FFF2-40B4-BE49-F238E27FC236}">
                  <a16:creationId xmlns:a16="http://schemas.microsoft.com/office/drawing/2014/main" id="{00000000-0008-0000-1E00-00007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7</xdr:col>
          <xdr:colOff>0</xdr:colOff>
          <xdr:row>108</xdr:row>
          <xdr:rowOff>0</xdr:rowOff>
        </xdr:to>
        <xdr:sp macro="" textlink="">
          <xdr:nvSpPr>
            <xdr:cNvPr id="470387" name="bpmDropDownFLU956" hidden="1">
              <a:extLst>
                <a:ext uri="{63B3BB69-23CF-44E3-9099-C40C66FF867C}">
                  <a14:compatExt spid="_x0000_s470387"/>
                </a:ext>
                <a:ext uri="{FF2B5EF4-FFF2-40B4-BE49-F238E27FC236}">
                  <a16:creationId xmlns:a16="http://schemas.microsoft.com/office/drawing/2014/main" id="{00000000-0008-0000-1E00-00007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470388" name="bpmDropDownFLU957" hidden="1">
              <a:extLst>
                <a:ext uri="{63B3BB69-23CF-44E3-9099-C40C66FF867C}">
                  <a14:compatExt spid="_x0000_s470388"/>
                </a:ext>
                <a:ext uri="{FF2B5EF4-FFF2-40B4-BE49-F238E27FC236}">
                  <a16:creationId xmlns:a16="http://schemas.microsoft.com/office/drawing/2014/main" id="{00000000-0008-0000-1E00-00007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7</xdr:col>
          <xdr:colOff>0</xdr:colOff>
          <xdr:row>110</xdr:row>
          <xdr:rowOff>0</xdr:rowOff>
        </xdr:to>
        <xdr:sp macro="" textlink="">
          <xdr:nvSpPr>
            <xdr:cNvPr id="470389" name="bpmDropDownFLU958" hidden="1">
              <a:extLst>
                <a:ext uri="{63B3BB69-23CF-44E3-9099-C40C66FF867C}">
                  <a14:compatExt spid="_x0000_s470389"/>
                </a:ext>
                <a:ext uri="{FF2B5EF4-FFF2-40B4-BE49-F238E27FC236}">
                  <a16:creationId xmlns:a16="http://schemas.microsoft.com/office/drawing/2014/main" id="{00000000-0008-0000-1E00-00007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7</xdr:col>
          <xdr:colOff>0</xdr:colOff>
          <xdr:row>111</xdr:row>
          <xdr:rowOff>0</xdr:rowOff>
        </xdr:to>
        <xdr:sp macro="" textlink="">
          <xdr:nvSpPr>
            <xdr:cNvPr id="470390" name="bpmDropDownFLU959" hidden="1">
              <a:extLst>
                <a:ext uri="{63B3BB69-23CF-44E3-9099-C40C66FF867C}">
                  <a14:compatExt spid="_x0000_s470390"/>
                </a:ext>
                <a:ext uri="{FF2B5EF4-FFF2-40B4-BE49-F238E27FC236}">
                  <a16:creationId xmlns:a16="http://schemas.microsoft.com/office/drawing/2014/main" id="{00000000-0008-0000-1E00-00007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7</xdr:col>
          <xdr:colOff>0</xdr:colOff>
          <xdr:row>112</xdr:row>
          <xdr:rowOff>0</xdr:rowOff>
        </xdr:to>
        <xdr:sp macro="" textlink="">
          <xdr:nvSpPr>
            <xdr:cNvPr id="470391" name="bpmDropDownFLU960" hidden="1">
              <a:extLst>
                <a:ext uri="{63B3BB69-23CF-44E3-9099-C40C66FF867C}">
                  <a14:compatExt spid="_x0000_s470391"/>
                </a:ext>
                <a:ext uri="{FF2B5EF4-FFF2-40B4-BE49-F238E27FC236}">
                  <a16:creationId xmlns:a16="http://schemas.microsoft.com/office/drawing/2014/main" id="{00000000-0008-0000-1E00-00007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7</xdr:col>
          <xdr:colOff>0</xdr:colOff>
          <xdr:row>113</xdr:row>
          <xdr:rowOff>0</xdr:rowOff>
        </xdr:to>
        <xdr:sp macro="" textlink="">
          <xdr:nvSpPr>
            <xdr:cNvPr id="470392" name="bpmDropDownFLU961" hidden="1">
              <a:extLst>
                <a:ext uri="{63B3BB69-23CF-44E3-9099-C40C66FF867C}">
                  <a14:compatExt spid="_x0000_s470392"/>
                </a:ext>
                <a:ext uri="{FF2B5EF4-FFF2-40B4-BE49-F238E27FC236}">
                  <a16:creationId xmlns:a16="http://schemas.microsoft.com/office/drawing/2014/main" id="{00000000-0008-0000-1E00-00007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7</xdr:col>
          <xdr:colOff>0</xdr:colOff>
          <xdr:row>118</xdr:row>
          <xdr:rowOff>0</xdr:rowOff>
        </xdr:to>
        <xdr:sp macro="" textlink="">
          <xdr:nvSpPr>
            <xdr:cNvPr id="470393" name="bpmDropDownFLU962" hidden="1">
              <a:extLst>
                <a:ext uri="{63B3BB69-23CF-44E3-9099-C40C66FF867C}">
                  <a14:compatExt spid="_x0000_s470393"/>
                </a:ext>
                <a:ext uri="{FF2B5EF4-FFF2-40B4-BE49-F238E27FC236}">
                  <a16:creationId xmlns:a16="http://schemas.microsoft.com/office/drawing/2014/main" id="{00000000-0008-0000-1E00-00007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7</xdr:col>
          <xdr:colOff>0</xdr:colOff>
          <xdr:row>119</xdr:row>
          <xdr:rowOff>0</xdr:rowOff>
        </xdr:to>
        <xdr:sp macro="" textlink="">
          <xdr:nvSpPr>
            <xdr:cNvPr id="470394" name="bpmDropDownFLU963" hidden="1">
              <a:extLst>
                <a:ext uri="{63B3BB69-23CF-44E3-9099-C40C66FF867C}">
                  <a14:compatExt spid="_x0000_s470394"/>
                </a:ext>
                <a:ext uri="{FF2B5EF4-FFF2-40B4-BE49-F238E27FC236}">
                  <a16:creationId xmlns:a16="http://schemas.microsoft.com/office/drawing/2014/main" id="{00000000-0008-0000-1E00-00007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0</xdr:rowOff>
        </xdr:from>
        <xdr:to>
          <xdr:col>7</xdr:col>
          <xdr:colOff>0</xdr:colOff>
          <xdr:row>120</xdr:row>
          <xdr:rowOff>0</xdr:rowOff>
        </xdr:to>
        <xdr:sp macro="" textlink="">
          <xdr:nvSpPr>
            <xdr:cNvPr id="470395" name="bpmDropDownFLU964" hidden="1">
              <a:extLst>
                <a:ext uri="{63B3BB69-23CF-44E3-9099-C40C66FF867C}">
                  <a14:compatExt spid="_x0000_s470395"/>
                </a:ext>
                <a:ext uri="{FF2B5EF4-FFF2-40B4-BE49-F238E27FC236}">
                  <a16:creationId xmlns:a16="http://schemas.microsoft.com/office/drawing/2014/main" id="{00000000-0008-0000-1E00-00007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0</xdr:rowOff>
        </xdr:from>
        <xdr:to>
          <xdr:col>7</xdr:col>
          <xdr:colOff>0</xdr:colOff>
          <xdr:row>121</xdr:row>
          <xdr:rowOff>0</xdr:rowOff>
        </xdr:to>
        <xdr:sp macro="" textlink="">
          <xdr:nvSpPr>
            <xdr:cNvPr id="470396" name="bpmDropDownFLU965" hidden="1">
              <a:extLst>
                <a:ext uri="{63B3BB69-23CF-44E3-9099-C40C66FF867C}">
                  <a14:compatExt spid="_x0000_s470396"/>
                </a:ext>
                <a:ext uri="{FF2B5EF4-FFF2-40B4-BE49-F238E27FC236}">
                  <a16:creationId xmlns:a16="http://schemas.microsoft.com/office/drawing/2014/main" id="{00000000-0008-0000-1E00-00007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7</xdr:col>
          <xdr:colOff>0</xdr:colOff>
          <xdr:row>122</xdr:row>
          <xdr:rowOff>0</xdr:rowOff>
        </xdr:to>
        <xdr:sp macro="" textlink="">
          <xdr:nvSpPr>
            <xdr:cNvPr id="470397" name="bpmDropDownFLU966" hidden="1">
              <a:extLst>
                <a:ext uri="{63B3BB69-23CF-44E3-9099-C40C66FF867C}">
                  <a14:compatExt spid="_x0000_s470397"/>
                </a:ext>
                <a:ext uri="{FF2B5EF4-FFF2-40B4-BE49-F238E27FC236}">
                  <a16:creationId xmlns:a16="http://schemas.microsoft.com/office/drawing/2014/main" id="{00000000-0008-0000-1E00-00007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0</xdr:rowOff>
        </xdr:from>
        <xdr:to>
          <xdr:col>7</xdr:col>
          <xdr:colOff>0</xdr:colOff>
          <xdr:row>123</xdr:row>
          <xdr:rowOff>0</xdr:rowOff>
        </xdr:to>
        <xdr:sp macro="" textlink="">
          <xdr:nvSpPr>
            <xdr:cNvPr id="470398" name="bpmDropDownFLU967" hidden="1">
              <a:extLst>
                <a:ext uri="{63B3BB69-23CF-44E3-9099-C40C66FF867C}">
                  <a14:compatExt spid="_x0000_s470398"/>
                </a:ext>
                <a:ext uri="{FF2B5EF4-FFF2-40B4-BE49-F238E27FC236}">
                  <a16:creationId xmlns:a16="http://schemas.microsoft.com/office/drawing/2014/main" id="{00000000-0008-0000-1E00-00007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7</xdr:col>
          <xdr:colOff>0</xdr:colOff>
          <xdr:row>124</xdr:row>
          <xdr:rowOff>0</xdr:rowOff>
        </xdr:to>
        <xdr:sp macro="" textlink="">
          <xdr:nvSpPr>
            <xdr:cNvPr id="470399" name="bpmDropDownFLU968" hidden="1">
              <a:extLst>
                <a:ext uri="{63B3BB69-23CF-44E3-9099-C40C66FF867C}">
                  <a14:compatExt spid="_x0000_s470399"/>
                </a:ext>
                <a:ext uri="{FF2B5EF4-FFF2-40B4-BE49-F238E27FC236}">
                  <a16:creationId xmlns:a16="http://schemas.microsoft.com/office/drawing/2014/main" id="{00000000-0008-0000-1E00-00007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7</xdr:col>
          <xdr:colOff>0</xdr:colOff>
          <xdr:row>125</xdr:row>
          <xdr:rowOff>0</xdr:rowOff>
        </xdr:to>
        <xdr:sp macro="" textlink="">
          <xdr:nvSpPr>
            <xdr:cNvPr id="470400" name="bpmDropDownFLU969" hidden="1">
              <a:extLst>
                <a:ext uri="{63B3BB69-23CF-44E3-9099-C40C66FF867C}">
                  <a14:compatExt spid="_x0000_s470400"/>
                </a:ext>
                <a:ext uri="{FF2B5EF4-FFF2-40B4-BE49-F238E27FC236}">
                  <a16:creationId xmlns:a16="http://schemas.microsoft.com/office/drawing/2014/main" id="{00000000-0008-0000-1E00-00008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7</xdr:col>
          <xdr:colOff>0</xdr:colOff>
          <xdr:row>126</xdr:row>
          <xdr:rowOff>0</xdr:rowOff>
        </xdr:to>
        <xdr:sp macro="" textlink="">
          <xdr:nvSpPr>
            <xdr:cNvPr id="470402" name="bpmDropDownFLU971" hidden="1">
              <a:extLst>
                <a:ext uri="{63B3BB69-23CF-44E3-9099-C40C66FF867C}">
                  <a14:compatExt spid="_x0000_s470402"/>
                </a:ext>
                <a:ext uri="{FF2B5EF4-FFF2-40B4-BE49-F238E27FC236}">
                  <a16:creationId xmlns:a16="http://schemas.microsoft.com/office/drawing/2014/main" id="{00000000-0008-0000-1E00-00008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470403" name="bpmDropDownFLU972" hidden="1">
              <a:extLst>
                <a:ext uri="{63B3BB69-23CF-44E3-9099-C40C66FF867C}">
                  <a14:compatExt spid="_x0000_s470403"/>
                </a:ext>
                <a:ext uri="{FF2B5EF4-FFF2-40B4-BE49-F238E27FC236}">
                  <a16:creationId xmlns:a16="http://schemas.microsoft.com/office/drawing/2014/main" id="{00000000-0008-0000-1E00-00008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470404" name="bpmDropDownFLU978" hidden="1">
              <a:extLst>
                <a:ext uri="{63B3BB69-23CF-44E3-9099-C40C66FF867C}">
                  <a14:compatExt spid="_x0000_s470404"/>
                </a:ext>
                <a:ext uri="{FF2B5EF4-FFF2-40B4-BE49-F238E27FC236}">
                  <a16:creationId xmlns:a16="http://schemas.microsoft.com/office/drawing/2014/main" id="{00000000-0008-0000-1E00-00008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7</xdr:col>
          <xdr:colOff>0</xdr:colOff>
          <xdr:row>129</xdr:row>
          <xdr:rowOff>0</xdr:rowOff>
        </xdr:to>
        <xdr:sp macro="" textlink="">
          <xdr:nvSpPr>
            <xdr:cNvPr id="470405" name="bpmDropDownFLU979" hidden="1">
              <a:extLst>
                <a:ext uri="{63B3BB69-23CF-44E3-9099-C40C66FF867C}">
                  <a14:compatExt spid="_x0000_s470405"/>
                </a:ext>
                <a:ext uri="{FF2B5EF4-FFF2-40B4-BE49-F238E27FC236}">
                  <a16:creationId xmlns:a16="http://schemas.microsoft.com/office/drawing/2014/main" id="{00000000-0008-0000-1E00-00008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470406" name="bpmDropDownFLU980" hidden="1">
              <a:extLst>
                <a:ext uri="{63B3BB69-23CF-44E3-9099-C40C66FF867C}">
                  <a14:compatExt spid="_x0000_s470406"/>
                </a:ext>
                <a:ext uri="{FF2B5EF4-FFF2-40B4-BE49-F238E27FC236}">
                  <a16:creationId xmlns:a16="http://schemas.microsoft.com/office/drawing/2014/main" id="{00000000-0008-0000-1E00-00008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470407" name="bpmDropDownFLU981" hidden="1">
              <a:extLst>
                <a:ext uri="{63B3BB69-23CF-44E3-9099-C40C66FF867C}">
                  <a14:compatExt spid="_x0000_s470407"/>
                </a:ext>
                <a:ext uri="{FF2B5EF4-FFF2-40B4-BE49-F238E27FC236}">
                  <a16:creationId xmlns:a16="http://schemas.microsoft.com/office/drawing/2014/main" id="{00000000-0008-0000-1E00-00008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470408" name="bpmDropDownFLU982" hidden="1">
              <a:extLst>
                <a:ext uri="{63B3BB69-23CF-44E3-9099-C40C66FF867C}">
                  <a14:compatExt spid="_x0000_s470408"/>
                </a:ext>
                <a:ext uri="{FF2B5EF4-FFF2-40B4-BE49-F238E27FC236}">
                  <a16:creationId xmlns:a16="http://schemas.microsoft.com/office/drawing/2014/main" id="{00000000-0008-0000-1E00-00008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7</xdr:col>
          <xdr:colOff>0</xdr:colOff>
          <xdr:row>137</xdr:row>
          <xdr:rowOff>0</xdr:rowOff>
        </xdr:to>
        <xdr:sp macro="" textlink="">
          <xdr:nvSpPr>
            <xdr:cNvPr id="470409" name="bpmDropDownFLU983" hidden="1">
              <a:extLst>
                <a:ext uri="{63B3BB69-23CF-44E3-9099-C40C66FF867C}">
                  <a14:compatExt spid="_x0000_s470409"/>
                </a:ext>
                <a:ext uri="{FF2B5EF4-FFF2-40B4-BE49-F238E27FC236}">
                  <a16:creationId xmlns:a16="http://schemas.microsoft.com/office/drawing/2014/main" id="{00000000-0008-0000-1E00-00008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7</xdr:col>
          <xdr:colOff>0</xdr:colOff>
          <xdr:row>138</xdr:row>
          <xdr:rowOff>0</xdr:rowOff>
        </xdr:to>
        <xdr:sp macro="" textlink="">
          <xdr:nvSpPr>
            <xdr:cNvPr id="470410" name="bpmDropDownFLU984" hidden="1">
              <a:extLst>
                <a:ext uri="{63B3BB69-23CF-44E3-9099-C40C66FF867C}">
                  <a14:compatExt spid="_x0000_s470410"/>
                </a:ext>
                <a:ext uri="{FF2B5EF4-FFF2-40B4-BE49-F238E27FC236}">
                  <a16:creationId xmlns:a16="http://schemas.microsoft.com/office/drawing/2014/main" id="{00000000-0008-0000-1E00-00008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0</xdr:rowOff>
        </xdr:from>
        <xdr:to>
          <xdr:col>7</xdr:col>
          <xdr:colOff>0</xdr:colOff>
          <xdr:row>139</xdr:row>
          <xdr:rowOff>0</xdr:rowOff>
        </xdr:to>
        <xdr:sp macro="" textlink="">
          <xdr:nvSpPr>
            <xdr:cNvPr id="470411" name="bpmDropDownFLU985" hidden="1">
              <a:extLst>
                <a:ext uri="{63B3BB69-23CF-44E3-9099-C40C66FF867C}">
                  <a14:compatExt spid="_x0000_s470411"/>
                </a:ext>
                <a:ext uri="{FF2B5EF4-FFF2-40B4-BE49-F238E27FC236}">
                  <a16:creationId xmlns:a16="http://schemas.microsoft.com/office/drawing/2014/main" id="{00000000-0008-0000-1E00-00008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7</xdr:col>
          <xdr:colOff>0</xdr:colOff>
          <xdr:row>140</xdr:row>
          <xdr:rowOff>0</xdr:rowOff>
        </xdr:to>
        <xdr:sp macro="" textlink="">
          <xdr:nvSpPr>
            <xdr:cNvPr id="470412" name="bpmDropDownFLU986" hidden="1">
              <a:extLst>
                <a:ext uri="{63B3BB69-23CF-44E3-9099-C40C66FF867C}">
                  <a14:compatExt spid="_x0000_s470412"/>
                </a:ext>
                <a:ext uri="{FF2B5EF4-FFF2-40B4-BE49-F238E27FC236}">
                  <a16:creationId xmlns:a16="http://schemas.microsoft.com/office/drawing/2014/main" id="{00000000-0008-0000-1E00-00008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7</xdr:col>
          <xdr:colOff>0</xdr:colOff>
          <xdr:row>141</xdr:row>
          <xdr:rowOff>0</xdr:rowOff>
        </xdr:to>
        <xdr:sp macro="" textlink="">
          <xdr:nvSpPr>
            <xdr:cNvPr id="470413" name="bpmDropDownFLU987" hidden="1">
              <a:extLst>
                <a:ext uri="{63B3BB69-23CF-44E3-9099-C40C66FF867C}">
                  <a14:compatExt spid="_x0000_s470413"/>
                </a:ext>
                <a:ext uri="{FF2B5EF4-FFF2-40B4-BE49-F238E27FC236}">
                  <a16:creationId xmlns:a16="http://schemas.microsoft.com/office/drawing/2014/main" id="{00000000-0008-0000-1E00-00008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7</xdr:col>
          <xdr:colOff>0</xdr:colOff>
          <xdr:row>142</xdr:row>
          <xdr:rowOff>0</xdr:rowOff>
        </xdr:to>
        <xdr:sp macro="" textlink="">
          <xdr:nvSpPr>
            <xdr:cNvPr id="470414" name="bpmDropDownFLU988" hidden="1">
              <a:extLst>
                <a:ext uri="{63B3BB69-23CF-44E3-9099-C40C66FF867C}">
                  <a14:compatExt spid="_x0000_s470414"/>
                </a:ext>
                <a:ext uri="{FF2B5EF4-FFF2-40B4-BE49-F238E27FC236}">
                  <a16:creationId xmlns:a16="http://schemas.microsoft.com/office/drawing/2014/main" id="{00000000-0008-0000-1E00-00008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7</xdr:col>
          <xdr:colOff>0</xdr:colOff>
          <xdr:row>143</xdr:row>
          <xdr:rowOff>0</xdr:rowOff>
        </xdr:to>
        <xdr:sp macro="" textlink="">
          <xdr:nvSpPr>
            <xdr:cNvPr id="470415" name="bpmDropDownFLU989" hidden="1">
              <a:extLst>
                <a:ext uri="{63B3BB69-23CF-44E3-9099-C40C66FF867C}">
                  <a14:compatExt spid="_x0000_s470415"/>
                </a:ext>
                <a:ext uri="{FF2B5EF4-FFF2-40B4-BE49-F238E27FC236}">
                  <a16:creationId xmlns:a16="http://schemas.microsoft.com/office/drawing/2014/main" id="{00000000-0008-0000-1E00-00008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7</xdr:col>
          <xdr:colOff>0</xdr:colOff>
          <xdr:row>144</xdr:row>
          <xdr:rowOff>0</xdr:rowOff>
        </xdr:to>
        <xdr:sp macro="" textlink="">
          <xdr:nvSpPr>
            <xdr:cNvPr id="470416" name="bpmDropDownFLU990" hidden="1">
              <a:extLst>
                <a:ext uri="{63B3BB69-23CF-44E3-9099-C40C66FF867C}">
                  <a14:compatExt spid="_x0000_s470416"/>
                </a:ext>
                <a:ext uri="{FF2B5EF4-FFF2-40B4-BE49-F238E27FC236}">
                  <a16:creationId xmlns:a16="http://schemas.microsoft.com/office/drawing/2014/main" id="{00000000-0008-0000-1E00-00009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7</xdr:col>
          <xdr:colOff>0</xdr:colOff>
          <xdr:row>145</xdr:row>
          <xdr:rowOff>0</xdr:rowOff>
        </xdr:to>
        <xdr:sp macro="" textlink="">
          <xdr:nvSpPr>
            <xdr:cNvPr id="470418" name="bpmDropDownFLU992" hidden="1">
              <a:extLst>
                <a:ext uri="{63B3BB69-23CF-44E3-9099-C40C66FF867C}">
                  <a14:compatExt spid="_x0000_s470418"/>
                </a:ext>
                <a:ext uri="{FF2B5EF4-FFF2-40B4-BE49-F238E27FC236}">
                  <a16:creationId xmlns:a16="http://schemas.microsoft.com/office/drawing/2014/main" id="{00000000-0008-0000-1E00-00009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7</xdr:col>
          <xdr:colOff>0</xdr:colOff>
          <xdr:row>146</xdr:row>
          <xdr:rowOff>0</xdr:rowOff>
        </xdr:to>
        <xdr:sp macro="" textlink="">
          <xdr:nvSpPr>
            <xdr:cNvPr id="470419" name="bpmDropDownFLU993" hidden="1">
              <a:extLst>
                <a:ext uri="{63B3BB69-23CF-44E3-9099-C40C66FF867C}">
                  <a14:compatExt spid="_x0000_s470419"/>
                </a:ext>
                <a:ext uri="{FF2B5EF4-FFF2-40B4-BE49-F238E27FC236}">
                  <a16:creationId xmlns:a16="http://schemas.microsoft.com/office/drawing/2014/main" id="{00000000-0008-0000-1E00-00009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470420" name="bpmDropDownFLU994" hidden="1">
              <a:extLst>
                <a:ext uri="{63B3BB69-23CF-44E3-9099-C40C66FF867C}">
                  <a14:compatExt spid="_x0000_s470420"/>
                </a:ext>
                <a:ext uri="{FF2B5EF4-FFF2-40B4-BE49-F238E27FC236}">
                  <a16:creationId xmlns:a16="http://schemas.microsoft.com/office/drawing/2014/main" id="{00000000-0008-0000-1E00-00009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0</xdr:rowOff>
        </xdr:from>
        <xdr:to>
          <xdr:col>7</xdr:col>
          <xdr:colOff>0</xdr:colOff>
          <xdr:row>148</xdr:row>
          <xdr:rowOff>0</xdr:rowOff>
        </xdr:to>
        <xdr:sp macro="" textlink="">
          <xdr:nvSpPr>
            <xdr:cNvPr id="470421" name="bpmDropDownFLU995" hidden="1">
              <a:extLst>
                <a:ext uri="{63B3BB69-23CF-44E3-9099-C40C66FF867C}">
                  <a14:compatExt spid="_x0000_s470421"/>
                </a:ext>
                <a:ext uri="{FF2B5EF4-FFF2-40B4-BE49-F238E27FC236}">
                  <a16:creationId xmlns:a16="http://schemas.microsoft.com/office/drawing/2014/main" id="{00000000-0008-0000-1E00-00009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7</xdr:col>
          <xdr:colOff>0</xdr:colOff>
          <xdr:row>149</xdr:row>
          <xdr:rowOff>0</xdr:rowOff>
        </xdr:to>
        <xdr:sp macro="" textlink="">
          <xdr:nvSpPr>
            <xdr:cNvPr id="470422" name="bpmDropDownFLU996" hidden="1">
              <a:extLst>
                <a:ext uri="{63B3BB69-23CF-44E3-9099-C40C66FF867C}">
                  <a14:compatExt spid="_x0000_s470422"/>
                </a:ext>
                <a:ext uri="{FF2B5EF4-FFF2-40B4-BE49-F238E27FC236}">
                  <a16:creationId xmlns:a16="http://schemas.microsoft.com/office/drawing/2014/main" id="{00000000-0008-0000-1E00-00009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470423" name="bpmDropDownFLU997" hidden="1">
              <a:extLst>
                <a:ext uri="{63B3BB69-23CF-44E3-9099-C40C66FF867C}">
                  <a14:compatExt spid="_x0000_s470423"/>
                </a:ext>
                <a:ext uri="{FF2B5EF4-FFF2-40B4-BE49-F238E27FC236}">
                  <a16:creationId xmlns:a16="http://schemas.microsoft.com/office/drawing/2014/main" id="{00000000-0008-0000-1E00-00009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470424" name="bpmDropDownFLU1023" hidden="1">
              <a:extLst>
                <a:ext uri="{63B3BB69-23CF-44E3-9099-C40C66FF867C}">
                  <a14:compatExt spid="_x0000_s470424"/>
                </a:ext>
                <a:ext uri="{FF2B5EF4-FFF2-40B4-BE49-F238E27FC236}">
                  <a16:creationId xmlns:a16="http://schemas.microsoft.com/office/drawing/2014/main" id="{00000000-0008-0000-1E00-00009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7</xdr:col>
          <xdr:colOff>0</xdr:colOff>
          <xdr:row>156</xdr:row>
          <xdr:rowOff>0</xdr:rowOff>
        </xdr:to>
        <xdr:sp macro="" textlink="">
          <xdr:nvSpPr>
            <xdr:cNvPr id="470425" name="bpmDropDownFLU1024" hidden="1">
              <a:extLst>
                <a:ext uri="{63B3BB69-23CF-44E3-9099-C40C66FF867C}">
                  <a14:compatExt spid="_x0000_s470425"/>
                </a:ext>
                <a:ext uri="{FF2B5EF4-FFF2-40B4-BE49-F238E27FC236}">
                  <a16:creationId xmlns:a16="http://schemas.microsoft.com/office/drawing/2014/main" id="{00000000-0008-0000-1E00-00009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7</xdr:col>
          <xdr:colOff>0</xdr:colOff>
          <xdr:row>157</xdr:row>
          <xdr:rowOff>0</xdr:rowOff>
        </xdr:to>
        <xdr:sp macro="" textlink="">
          <xdr:nvSpPr>
            <xdr:cNvPr id="470426" name="bpmDropDownFLU1025" hidden="1">
              <a:extLst>
                <a:ext uri="{63B3BB69-23CF-44E3-9099-C40C66FF867C}">
                  <a14:compatExt spid="_x0000_s470426"/>
                </a:ext>
                <a:ext uri="{FF2B5EF4-FFF2-40B4-BE49-F238E27FC236}">
                  <a16:creationId xmlns:a16="http://schemas.microsoft.com/office/drawing/2014/main" id="{00000000-0008-0000-1E00-00009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7</xdr:col>
          <xdr:colOff>0</xdr:colOff>
          <xdr:row>158</xdr:row>
          <xdr:rowOff>0</xdr:rowOff>
        </xdr:to>
        <xdr:sp macro="" textlink="">
          <xdr:nvSpPr>
            <xdr:cNvPr id="470427" name="bpmDropDownFLU1026" hidden="1">
              <a:extLst>
                <a:ext uri="{63B3BB69-23CF-44E3-9099-C40C66FF867C}">
                  <a14:compatExt spid="_x0000_s470427"/>
                </a:ext>
                <a:ext uri="{FF2B5EF4-FFF2-40B4-BE49-F238E27FC236}">
                  <a16:creationId xmlns:a16="http://schemas.microsoft.com/office/drawing/2014/main" id="{00000000-0008-0000-1E00-00009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470428" name="bpmDropDownFLU1027" hidden="1">
              <a:extLst>
                <a:ext uri="{63B3BB69-23CF-44E3-9099-C40C66FF867C}">
                  <a14:compatExt spid="_x0000_s470428"/>
                </a:ext>
                <a:ext uri="{FF2B5EF4-FFF2-40B4-BE49-F238E27FC236}">
                  <a16:creationId xmlns:a16="http://schemas.microsoft.com/office/drawing/2014/main" id="{00000000-0008-0000-1E00-00009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470429" name="bpmDropDownFLU1028" hidden="1">
              <a:extLst>
                <a:ext uri="{63B3BB69-23CF-44E3-9099-C40C66FF867C}">
                  <a14:compatExt spid="_x0000_s470429"/>
                </a:ext>
                <a:ext uri="{FF2B5EF4-FFF2-40B4-BE49-F238E27FC236}">
                  <a16:creationId xmlns:a16="http://schemas.microsoft.com/office/drawing/2014/main" id="{00000000-0008-0000-1E00-00009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470430" name="bpmDropDownFLU1029" hidden="1">
              <a:extLst>
                <a:ext uri="{63B3BB69-23CF-44E3-9099-C40C66FF867C}">
                  <a14:compatExt spid="_x0000_s470430"/>
                </a:ext>
                <a:ext uri="{FF2B5EF4-FFF2-40B4-BE49-F238E27FC236}">
                  <a16:creationId xmlns:a16="http://schemas.microsoft.com/office/drawing/2014/main" id="{00000000-0008-0000-1E00-00009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7</xdr:col>
          <xdr:colOff>0</xdr:colOff>
          <xdr:row>162</xdr:row>
          <xdr:rowOff>0</xdr:rowOff>
        </xdr:to>
        <xdr:sp macro="" textlink="">
          <xdr:nvSpPr>
            <xdr:cNvPr id="470431" name="bpmDropDownFLU1030" hidden="1">
              <a:extLst>
                <a:ext uri="{63B3BB69-23CF-44E3-9099-C40C66FF867C}">
                  <a14:compatExt spid="_x0000_s470431"/>
                </a:ext>
                <a:ext uri="{FF2B5EF4-FFF2-40B4-BE49-F238E27FC236}">
                  <a16:creationId xmlns:a16="http://schemas.microsoft.com/office/drawing/2014/main" id="{00000000-0008-0000-1E00-00009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7</xdr:col>
          <xdr:colOff>0</xdr:colOff>
          <xdr:row>163</xdr:row>
          <xdr:rowOff>0</xdr:rowOff>
        </xdr:to>
        <xdr:sp macro="" textlink="">
          <xdr:nvSpPr>
            <xdr:cNvPr id="470432" name="bpmDropDownFLU1031" hidden="1">
              <a:extLst>
                <a:ext uri="{63B3BB69-23CF-44E3-9099-C40C66FF867C}">
                  <a14:compatExt spid="_x0000_s470432"/>
                </a:ext>
                <a:ext uri="{FF2B5EF4-FFF2-40B4-BE49-F238E27FC236}">
                  <a16:creationId xmlns:a16="http://schemas.microsoft.com/office/drawing/2014/main" id="{00000000-0008-0000-1E00-0000A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7</xdr:col>
          <xdr:colOff>0</xdr:colOff>
          <xdr:row>164</xdr:row>
          <xdr:rowOff>0</xdr:rowOff>
        </xdr:to>
        <xdr:sp macro="" textlink="">
          <xdr:nvSpPr>
            <xdr:cNvPr id="470434" name="bpmDropDownFLU1033" hidden="1">
              <a:extLst>
                <a:ext uri="{63B3BB69-23CF-44E3-9099-C40C66FF867C}">
                  <a14:compatExt spid="_x0000_s470434"/>
                </a:ext>
                <a:ext uri="{FF2B5EF4-FFF2-40B4-BE49-F238E27FC236}">
                  <a16:creationId xmlns:a16="http://schemas.microsoft.com/office/drawing/2014/main" id="{00000000-0008-0000-1E00-0000A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7</xdr:col>
          <xdr:colOff>0</xdr:colOff>
          <xdr:row>165</xdr:row>
          <xdr:rowOff>0</xdr:rowOff>
        </xdr:to>
        <xdr:sp macro="" textlink="">
          <xdr:nvSpPr>
            <xdr:cNvPr id="470435" name="bpmDropDownFLU1034" hidden="1">
              <a:extLst>
                <a:ext uri="{63B3BB69-23CF-44E3-9099-C40C66FF867C}">
                  <a14:compatExt spid="_x0000_s470435"/>
                </a:ext>
                <a:ext uri="{FF2B5EF4-FFF2-40B4-BE49-F238E27FC236}">
                  <a16:creationId xmlns:a16="http://schemas.microsoft.com/office/drawing/2014/main" id="{00000000-0008-0000-1E00-0000A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470436" name="bpmDropDownFLU1035" hidden="1">
              <a:extLst>
                <a:ext uri="{63B3BB69-23CF-44E3-9099-C40C66FF867C}">
                  <a14:compatExt spid="_x0000_s470436"/>
                </a:ext>
                <a:ext uri="{FF2B5EF4-FFF2-40B4-BE49-F238E27FC236}">
                  <a16:creationId xmlns:a16="http://schemas.microsoft.com/office/drawing/2014/main" id="{00000000-0008-0000-1E00-0000A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470437" name="bpmDropDownFLU1036" hidden="1">
              <a:extLst>
                <a:ext uri="{63B3BB69-23CF-44E3-9099-C40C66FF867C}">
                  <a14:compatExt spid="_x0000_s470437"/>
                </a:ext>
                <a:ext uri="{FF2B5EF4-FFF2-40B4-BE49-F238E27FC236}">
                  <a16:creationId xmlns:a16="http://schemas.microsoft.com/office/drawing/2014/main" id="{00000000-0008-0000-1E00-0000A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470438" name="bpmDropDownFLU1037" hidden="1">
              <a:extLst>
                <a:ext uri="{63B3BB69-23CF-44E3-9099-C40C66FF867C}">
                  <a14:compatExt spid="_x0000_s470438"/>
                </a:ext>
                <a:ext uri="{FF2B5EF4-FFF2-40B4-BE49-F238E27FC236}">
                  <a16:creationId xmlns:a16="http://schemas.microsoft.com/office/drawing/2014/main" id="{00000000-0008-0000-1E00-0000A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470439" name="bpmDropDownFLU1038" hidden="1">
              <a:extLst>
                <a:ext uri="{63B3BB69-23CF-44E3-9099-C40C66FF867C}">
                  <a14:compatExt spid="_x0000_s470439"/>
                </a:ext>
                <a:ext uri="{FF2B5EF4-FFF2-40B4-BE49-F238E27FC236}">
                  <a16:creationId xmlns:a16="http://schemas.microsoft.com/office/drawing/2014/main" id="{00000000-0008-0000-1E00-0000A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470440" name="bpmDropDownFLU1039" hidden="1">
              <a:extLst>
                <a:ext uri="{63B3BB69-23CF-44E3-9099-C40C66FF867C}">
                  <a14:compatExt spid="_x0000_s470440"/>
                </a:ext>
                <a:ext uri="{FF2B5EF4-FFF2-40B4-BE49-F238E27FC236}">
                  <a16:creationId xmlns:a16="http://schemas.microsoft.com/office/drawing/2014/main" id="{00000000-0008-0000-1E00-0000A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470441" name="bpmDropDownFLU1040" hidden="1">
              <a:extLst>
                <a:ext uri="{63B3BB69-23CF-44E3-9099-C40C66FF867C}">
                  <a14:compatExt spid="_x0000_s470441"/>
                </a:ext>
                <a:ext uri="{FF2B5EF4-FFF2-40B4-BE49-F238E27FC236}">
                  <a16:creationId xmlns:a16="http://schemas.microsoft.com/office/drawing/2014/main" id="{00000000-0008-0000-1E00-0000A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470442" name="bpmDropDownFLU1041" hidden="1">
              <a:extLst>
                <a:ext uri="{63B3BB69-23CF-44E3-9099-C40C66FF867C}">
                  <a14:compatExt spid="_x0000_s470442"/>
                </a:ext>
                <a:ext uri="{FF2B5EF4-FFF2-40B4-BE49-F238E27FC236}">
                  <a16:creationId xmlns:a16="http://schemas.microsoft.com/office/drawing/2014/main" id="{00000000-0008-0000-1E00-0000A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70443" name="bpmDropDownFLU1042" hidden="1">
              <a:extLst>
                <a:ext uri="{63B3BB69-23CF-44E3-9099-C40C66FF867C}">
                  <a14:compatExt spid="_x0000_s470443"/>
                </a:ext>
                <a:ext uri="{FF2B5EF4-FFF2-40B4-BE49-F238E27FC236}">
                  <a16:creationId xmlns:a16="http://schemas.microsoft.com/office/drawing/2014/main" id="{00000000-0008-0000-1E00-0000A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470444" name="bpmDropDownFLU1048" hidden="1">
              <a:extLst>
                <a:ext uri="{63B3BB69-23CF-44E3-9099-C40C66FF867C}">
                  <a14:compatExt spid="_x0000_s470444"/>
                </a:ext>
                <a:ext uri="{FF2B5EF4-FFF2-40B4-BE49-F238E27FC236}">
                  <a16:creationId xmlns:a16="http://schemas.microsoft.com/office/drawing/2014/main" id="{00000000-0008-0000-1E00-0000A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470445" name="bpmDropDownFLU1049" hidden="1">
              <a:extLst>
                <a:ext uri="{63B3BB69-23CF-44E3-9099-C40C66FF867C}">
                  <a14:compatExt spid="_x0000_s470445"/>
                </a:ext>
                <a:ext uri="{FF2B5EF4-FFF2-40B4-BE49-F238E27FC236}">
                  <a16:creationId xmlns:a16="http://schemas.microsoft.com/office/drawing/2014/main" id="{00000000-0008-0000-1E00-0000A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470446" name="bpmDropDownFLU1050" hidden="1">
              <a:extLst>
                <a:ext uri="{63B3BB69-23CF-44E3-9099-C40C66FF867C}">
                  <a14:compatExt spid="_x0000_s470446"/>
                </a:ext>
                <a:ext uri="{FF2B5EF4-FFF2-40B4-BE49-F238E27FC236}">
                  <a16:creationId xmlns:a16="http://schemas.microsoft.com/office/drawing/2014/main" id="{00000000-0008-0000-1E00-0000A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470447" name="bpmDropDownFLU1051" hidden="1">
              <a:extLst>
                <a:ext uri="{63B3BB69-23CF-44E3-9099-C40C66FF867C}">
                  <a14:compatExt spid="_x0000_s470447"/>
                </a:ext>
                <a:ext uri="{FF2B5EF4-FFF2-40B4-BE49-F238E27FC236}">
                  <a16:creationId xmlns:a16="http://schemas.microsoft.com/office/drawing/2014/main" id="{00000000-0008-0000-1E00-0000A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470448" name="bpmDropDownFLU1052" hidden="1">
              <a:extLst>
                <a:ext uri="{63B3BB69-23CF-44E3-9099-C40C66FF867C}">
                  <a14:compatExt spid="_x0000_s470448"/>
                </a:ext>
                <a:ext uri="{FF2B5EF4-FFF2-40B4-BE49-F238E27FC236}">
                  <a16:creationId xmlns:a16="http://schemas.microsoft.com/office/drawing/2014/main" id="{00000000-0008-0000-1E00-0000B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470450" name="bpmDropDownFLU1054" hidden="1">
              <a:extLst>
                <a:ext uri="{63B3BB69-23CF-44E3-9099-C40C66FF867C}">
                  <a14:compatExt spid="_x0000_s470450"/>
                </a:ext>
                <a:ext uri="{FF2B5EF4-FFF2-40B4-BE49-F238E27FC236}">
                  <a16:creationId xmlns:a16="http://schemas.microsoft.com/office/drawing/2014/main" id="{00000000-0008-0000-1E00-0000B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70451" name="bpmDropDownFLU1055" hidden="1">
              <a:extLst>
                <a:ext uri="{63B3BB69-23CF-44E3-9099-C40C66FF867C}">
                  <a14:compatExt spid="_x0000_s470451"/>
                </a:ext>
                <a:ext uri="{FF2B5EF4-FFF2-40B4-BE49-F238E27FC236}">
                  <a16:creationId xmlns:a16="http://schemas.microsoft.com/office/drawing/2014/main" id="{00000000-0008-0000-1E00-0000B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70452" name="bpmDropDownFLU1056" hidden="1">
              <a:extLst>
                <a:ext uri="{63B3BB69-23CF-44E3-9099-C40C66FF867C}">
                  <a14:compatExt spid="_x0000_s470452"/>
                </a:ext>
                <a:ext uri="{FF2B5EF4-FFF2-40B4-BE49-F238E27FC236}">
                  <a16:creationId xmlns:a16="http://schemas.microsoft.com/office/drawing/2014/main" id="{00000000-0008-0000-1E00-0000B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470453" name="bpmDropDownFLU1057" hidden="1">
              <a:extLst>
                <a:ext uri="{63B3BB69-23CF-44E3-9099-C40C66FF867C}">
                  <a14:compatExt spid="_x0000_s470453"/>
                </a:ext>
                <a:ext uri="{FF2B5EF4-FFF2-40B4-BE49-F238E27FC236}">
                  <a16:creationId xmlns:a16="http://schemas.microsoft.com/office/drawing/2014/main" id="{00000000-0008-0000-1E00-0000B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470454" name="bpmDropDownFLU1058" hidden="1">
              <a:extLst>
                <a:ext uri="{63B3BB69-23CF-44E3-9099-C40C66FF867C}">
                  <a14:compatExt spid="_x0000_s470454"/>
                </a:ext>
                <a:ext uri="{FF2B5EF4-FFF2-40B4-BE49-F238E27FC236}">
                  <a16:creationId xmlns:a16="http://schemas.microsoft.com/office/drawing/2014/main" id="{00000000-0008-0000-1E00-0000B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470455" name="bpmDropDownFLU1059" hidden="1">
              <a:extLst>
                <a:ext uri="{63B3BB69-23CF-44E3-9099-C40C66FF867C}">
                  <a14:compatExt spid="_x0000_s470455"/>
                </a:ext>
                <a:ext uri="{FF2B5EF4-FFF2-40B4-BE49-F238E27FC236}">
                  <a16:creationId xmlns:a16="http://schemas.microsoft.com/office/drawing/2014/main" id="{00000000-0008-0000-1E00-0000B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470456" name="bpmDropDownFLU1060" hidden="1">
              <a:extLst>
                <a:ext uri="{63B3BB69-23CF-44E3-9099-C40C66FF867C}">
                  <a14:compatExt spid="_x0000_s470456"/>
                </a:ext>
                <a:ext uri="{FF2B5EF4-FFF2-40B4-BE49-F238E27FC236}">
                  <a16:creationId xmlns:a16="http://schemas.microsoft.com/office/drawing/2014/main" id="{00000000-0008-0000-1E00-0000B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9</xdr:col>
          <xdr:colOff>0</xdr:colOff>
          <xdr:row>99</xdr:row>
          <xdr:rowOff>0</xdr:rowOff>
        </xdr:to>
        <xdr:sp macro="" textlink="">
          <xdr:nvSpPr>
            <xdr:cNvPr id="470457" name="bpmDropDownFLU1061" hidden="1">
              <a:extLst>
                <a:ext uri="{63B3BB69-23CF-44E3-9099-C40C66FF867C}">
                  <a14:compatExt spid="_x0000_s470457"/>
                </a:ext>
                <a:ext uri="{FF2B5EF4-FFF2-40B4-BE49-F238E27FC236}">
                  <a16:creationId xmlns:a16="http://schemas.microsoft.com/office/drawing/2014/main" id="{00000000-0008-0000-1E00-0000B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9</xdr:col>
          <xdr:colOff>0</xdr:colOff>
          <xdr:row>100</xdr:row>
          <xdr:rowOff>0</xdr:rowOff>
        </xdr:to>
        <xdr:sp macro="" textlink="">
          <xdr:nvSpPr>
            <xdr:cNvPr id="470458" name="bpmDropDownFLU1062" hidden="1">
              <a:extLst>
                <a:ext uri="{63B3BB69-23CF-44E3-9099-C40C66FF867C}">
                  <a14:compatExt spid="_x0000_s470458"/>
                </a:ext>
                <a:ext uri="{FF2B5EF4-FFF2-40B4-BE49-F238E27FC236}">
                  <a16:creationId xmlns:a16="http://schemas.microsoft.com/office/drawing/2014/main" id="{00000000-0008-0000-1E00-0000B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9</xdr:col>
          <xdr:colOff>0</xdr:colOff>
          <xdr:row>101</xdr:row>
          <xdr:rowOff>0</xdr:rowOff>
        </xdr:to>
        <xdr:sp macro="" textlink="">
          <xdr:nvSpPr>
            <xdr:cNvPr id="470459" name="bpmDropDownFLU1063" hidden="1">
              <a:extLst>
                <a:ext uri="{63B3BB69-23CF-44E3-9099-C40C66FF867C}">
                  <a14:compatExt spid="_x0000_s470459"/>
                </a:ext>
                <a:ext uri="{FF2B5EF4-FFF2-40B4-BE49-F238E27FC236}">
                  <a16:creationId xmlns:a16="http://schemas.microsoft.com/office/drawing/2014/main" id="{00000000-0008-0000-1E00-0000B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470460" name="bpmDropDownFLU1064" hidden="1">
              <a:extLst>
                <a:ext uri="{63B3BB69-23CF-44E3-9099-C40C66FF867C}">
                  <a14:compatExt spid="_x0000_s470460"/>
                </a:ext>
                <a:ext uri="{FF2B5EF4-FFF2-40B4-BE49-F238E27FC236}">
                  <a16:creationId xmlns:a16="http://schemas.microsoft.com/office/drawing/2014/main" id="{00000000-0008-0000-1E00-0000B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470461" name="bpmDropDownFLU1065" hidden="1">
              <a:extLst>
                <a:ext uri="{63B3BB69-23CF-44E3-9099-C40C66FF867C}">
                  <a14:compatExt spid="_x0000_s470461"/>
                </a:ext>
                <a:ext uri="{FF2B5EF4-FFF2-40B4-BE49-F238E27FC236}">
                  <a16:creationId xmlns:a16="http://schemas.microsoft.com/office/drawing/2014/main" id="{00000000-0008-0000-1E00-0000B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470462" name="bpmDropDownFLU1066" hidden="1">
              <a:extLst>
                <a:ext uri="{63B3BB69-23CF-44E3-9099-C40C66FF867C}">
                  <a14:compatExt spid="_x0000_s470462"/>
                </a:ext>
                <a:ext uri="{FF2B5EF4-FFF2-40B4-BE49-F238E27FC236}">
                  <a16:creationId xmlns:a16="http://schemas.microsoft.com/office/drawing/2014/main" id="{00000000-0008-0000-1E00-0000B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0</xdr:rowOff>
        </xdr:from>
        <xdr:to>
          <xdr:col>9</xdr:col>
          <xdr:colOff>0</xdr:colOff>
          <xdr:row>105</xdr:row>
          <xdr:rowOff>0</xdr:rowOff>
        </xdr:to>
        <xdr:sp macro="" textlink="">
          <xdr:nvSpPr>
            <xdr:cNvPr id="470463" name="bpmDropDownFLU1067" hidden="1">
              <a:extLst>
                <a:ext uri="{63B3BB69-23CF-44E3-9099-C40C66FF867C}">
                  <a14:compatExt spid="_x0000_s470463"/>
                </a:ext>
                <a:ext uri="{FF2B5EF4-FFF2-40B4-BE49-F238E27FC236}">
                  <a16:creationId xmlns:a16="http://schemas.microsoft.com/office/drawing/2014/main" id="{00000000-0008-0000-1E00-0000B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470464" name="bpmDropDownFLU1093" hidden="1">
              <a:extLst>
                <a:ext uri="{63B3BB69-23CF-44E3-9099-C40C66FF867C}">
                  <a14:compatExt spid="_x0000_s470464"/>
                </a:ext>
                <a:ext uri="{FF2B5EF4-FFF2-40B4-BE49-F238E27FC236}">
                  <a16:creationId xmlns:a16="http://schemas.microsoft.com/office/drawing/2014/main" id="{00000000-0008-0000-1E00-0000C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470466" name="bpmDropDownFLU1095" hidden="1">
              <a:extLst>
                <a:ext uri="{63B3BB69-23CF-44E3-9099-C40C66FF867C}">
                  <a14:compatExt spid="_x0000_s470466"/>
                </a:ext>
                <a:ext uri="{FF2B5EF4-FFF2-40B4-BE49-F238E27FC236}">
                  <a16:creationId xmlns:a16="http://schemas.microsoft.com/office/drawing/2014/main" id="{00000000-0008-0000-1E00-0000C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0</xdr:rowOff>
        </xdr:to>
        <xdr:sp macro="" textlink="">
          <xdr:nvSpPr>
            <xdr:cNvPr id="470467" name="bpmDropDownFLU1096" hidden="1">
              <a:extLst>
                <a:ext uri="{63B3BB69-23CF-44E3-9099-C40C66FF867C}">
                  <a14:compatExt spid="_x0000_s470467"/>
                </a:ext>
                <a:ext uri="{FF2B5EF4-FFF2-40B4-BE49-F238E27FC236}">
                  <a16:creationId xmlns:a16="http://schemas.microsoft.com/office/drawing/2014/main" id="{00000000-0008-0000-1E00-0000C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9</xdr:col>
          <xdr:colOff>0</xdr:colOff>
          <xdr:row>109</xdr:row>
          <xdr:rowOff>0</xdr:rowOff>
        </xdr:to>
        <xdr:sp macro="" textlink="">
          <xdr:nvSpPr>
            <xdr:cNvPr id="470468" name="bpmDropDownFLU1097" hidden="1">
              <a:extLst>
                <a:ext uri="{63B3BB69-23CF-44E3-9099-C40C66FF867C}">
                  <a14:compatExt spid="_x0000_s470468"/>
                </a:ext>
                <a:ext uri="{FF2B5EF4-FFF2-40B4-BE49-F238E27FC236}">
                  <a16:creationId xmlns:a16="http://schemas.microsoft.com/office/drawing/2014/main" id="{00000000-0008-0000-1E00-0000C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9</xdr:col>
          <xdr:colOff>0</xdr:colOff>
          <xdr:row>110</xdr:row>
          <xdr:rowOff>0</xdr:rowOff>
        </xdr:to>
        <xdr:sp macro="" textlink="">
          <xdr:nvSpPr>
            <xdr:cNvPr id="470469" name="bpmDropDownFLU1098" hidden="1">
              <a:extLst>
                <a:ext uri="{63B3BB69-23CF-44E3-9099-C40C66FF867C}">
                  <a14:compatExt spid="_x0000_s470469"/>
                </a:ext>
                <a:ext uri="{FF2B5EF4-FFF2-40B4-BE49-F238E27FC236}">
                  <a16:creationId xmlns:a16="http://schemas.microsoft.com/office/drawing/2014/main" id="{00000000-0008-0000-1E00-0000C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0</xdr:rowOff>
        </xdr:from>
        <xdr:to>
          <xdr:col>9</xdr:col>
          <xdr:colOff>0</xdr:colOff>
          <xdr:row>111</xdr:row>
          <xdr:rowOff>0</xdr:rowOff>
        </xdr:to>
        <xdr:sp macro="" textlink="">
          <xdr:nvSpPr>
            <xdr:cNvPr id="470470" name="bpmDropDownFLU1099" hidden="1">
              <a:extLst>
                <a:ext uri="{63B3BB69-23CF-44E3-9099-C40C66FF867C}">
                  <a14:compatExt spid="_x0000_s470470"/>
                </a:ext>
                <a:ext uri="{FF2B5EF4-FFF2-40B4-BE49-F238E27FC236}">
                  <a16:creationId xmlns:a16="http://schemas.microsoft.com/office/drawing/2014/main" id="{00000000-0008-0000-1E00-0000C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111</xdr:row>
          <xdr:rowOff>0</xdr:rowOff>
        </xdr:from>
        <xdr:to>
          <xdr:col>9</xdr:col>
          <xdr:colOff>0</xdr:colOff>
          <xdr:row>112</xdr:row>
          <xdr:rowOff>0</xdr:rowOff>
        </xdr:to>
        <xdr:sp macro="" textlink="">
          <xdr:nvSpPr>
            <xdr:cNvPr id="470471" name="bpmDropDownFLU1100" hidden="1">
              <a:extLst>
                <a:ext uri="{63B3BB69-23CF-44E3-9099-C40C66FF867C}">
                  <a14:compatExt spid="_x0000_s470471"/>
                </a:ext>
                <a:ext uri="{FF2B5EF4-FFF2-40B4-BE49-F238E27FC236}">
                  <a16:creationId xmlns:a16="http://schemas.microsoft.com/office/drawing/2014/main" id="{00000000-0008-0000-1E00-0000C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9</xdr:col>
          <xdr:colOff>0</xdr:colOff>
          <xdr:row>113</xdr:row>
          <xdr:rowOff>0</xdr:rowOff>
        </xdr:to>
        <xdr:sp macro="" textlink="">
          <xdr:nvSpPr>
            <xdr:cNvPr id="470472" name="bpmDropDownFLU1101" hidden="1">
              <a:extLst>
                <a:ext uri="{63B3BB69-23CF-44E3-9099-C40C66FF867C}">
                  <a14:compatExt spid="_x0000_s470472"/>
                </a:ext>
                <a:ext uri="{FF2B5EF4-FFF2-40B4-BE49-F238E27FC236}">
                  <a16:creationId xmlns:a16="http://schemas.microsoft.com/office/drawing/2014/main" id="{00000000-0008-0000-1E00-0000C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771526</xdr:colOff>
      <xdr:row>0</xdr:row>
      <xdr:rowOff>247650</xdr:rowOff>
    </xdr:from>
    <xdr:to>
      <xdr:col>11</xdr:col>
      <xdr:colOff>57151</xdr:colOff>
      <xdr:row>2</xdr:row>
      <xdr:rowOff>47625</xdr:rowOff>
    </xdr:to>
    <xdr:sp macro="" textlink="">
      <xdr:nvSpPr>
        <xdr:cNvPr id="162" name="Auto Shape 1">
          <a:hlinkClick xmlns:r="http://schemas.openxmlformats.org/officeDocument/2006/relationships" r:id="rId1"/>
          <a:extLst>
            <a:ext uri="{FF2B5EF4-FFF2-40B4-BE49-F238E27FC236}">
              <a16:creationId xmlns:a16="http://schemas.microsoft.com/office/drawing/2014/main" id="{00000000-0008-0000-1E00-0000A2000000}"/>
            </a:ext>
          </a:extLst>
        </xdr:cNvPr>
        <xdr:cNvSpPr/>
      </xdr:nvSpPr>
      <xdr:spPr>
        <a:xfrm>
          <a:off x="7905751" y="247650"/>
          <a:ext cx="17526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163" name="Picture 1">
          <a:hlinkClick xmlns:r="http://schemas.openxmlformats.org/officeDocument/2006/relationships" r:id="rId2"/>
          <a:extLst>
            <a:ext uri="{FF2B5EF4-FFF2-40B4-BE49-F238E27FC236}">
              <a16:creationId xmlns:a16="http://schemas.microsoft.com/office/drawing/2014/main" id="{00000000-0008-0000-1E00-0000A3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8</xdr:col>
      <xdr:colOff>1285875</xdr:colOff>
      <xdr:row>0</xdr:row>
      <xdr:rowOff>47625</xdr:rowOff>
    </xdr:from>
    <xdr:to>
      <xdr:col>9</xdr:col>
      <xdr:colOff>685800</xdr:colOff>
      <xdr:row>1</xdr:row>
      <xdr:rowOff>190500</xdr:rowOff>
    </xdr:to>
    <xdr:grpSp>
      <xdr:nvGrpSpPr>
        <xdr:cNvPr id="165" name="Group 1">
          <a:extLst>
            <a:ext uri="{FF2B5EF4-FFF2-40B4-BE49-F238E27FC236}">
              <a16:creationId xmlns:a16="http://schemas.microsoft.com/office/drawing/2014/main" id="{00000000-0008-0000-1E00-0000A5000000}"/>
            </a:ext>
          </a:extLst>
        </xdr:cNvPr>
        <xdr:cNvGrpSpPr/>
      </xdr:nvGrpSpPr>
      <xdr:grpSpPr>
        <a:xfrm>
          <a:off x="6294120" y="49530"/>
          <a:ext cx="821055" cy="407670"/>
          <a:chOff x="8743950" y="161925"/>
          <a:chExt cx="933393" cy="466668"/>
        </a:xfrm>
      </xdr:grpSpPr>
      <xdr:pic>
        <xdr:nvPicPr>
          <xdr:cNvPr id="166" name="Picture 2">
            <a:extLst>
              <a:ext uri="{FF2B5EF4-FFF2-40B4-BE49-F238E27FC236}">
                <a16:creationId xmlns:a16="http://schemas.microsoft.com/office/drawing/2014/main" id="{00000000-0008-0000-1E00-0000A6000000}"/>
              </a:ext>
            </a:extLst>
          </xdr:cNvPr>
          <xdr:cNvPicPr>
            <a:picLocks noChangeAspect="1"/>
          </xdr:cNvPicPr>
        </xdr:nvPicPr>
        <xdr:blipFill>
          <a:blip xmlns:r="http://schemas.openxmlformats.org/officeDocument/2006/relationships" r:embed="rId4"/>
          <a:stretch>
            <a:fillRect/>
          </a:stretch>
        </xdr:blipFill>
        <xdr:spPr>
          <a:xfrm>
            <a:off x="9220200" y="171450"/>
            <a:ext cx="457143" cy="457143"/>
          </a:xfrm>
          <a:prstGeom prst="rect">
            <a:avLst/>
          </a:prstGeom>
        </xdr:spPr>
      </xdr:pic>
      <xdr:pic>
        <xdr:nvPicPr>
          <xdr:cNvPr id="167" name="Picture 3">
            <a:extLst>
              <a:ext uri="{FF2B5EF4-FFF2-40B4-BE49-F238E27FC236}">
                <a16:creationId xmlns:a16="http://schemas.microsoft.com/office/drawing/2014/main" id="{00000000-0008-0000-1E00-0000A7000000}"/>
              </a:ext>
            </a:extLst>
          </xdr:cNvPr>
          <xdr:cNvPicPr>
            <a:picLocks noChangeAspect="1"/>
          </xdr:cNvPicPr>
        </xdr:nvPicPr>
        <xdr:blipFill>
          <a:blip xmlns:r="http://schemas.openxmlformats.org/officeDocument/2006/relationships" r:embed="rId5"/>
          <a:stretch>
            <a:fillRect/>
          </a:stretch>
        </xdr:blipFill>
        <xdr:spPr>
          <a:xfrm>
            <a:off x="8743950" y="161925"/>
            <a:ext cx="457143" cy="457143"/>
          </a:xfrm>
          <a:prstGeom prst="rect">
            <a:avLst/>
          </a:prstGeom>
        </xdr:spPr>
      </xdr:pic>
    </xdr:grpSp>
    <xdr:clientData/>
  </xdr:twoCellAnchor>
  <xdr:twoCellAnchor>
    <xdr:from>
      <xdr:col>7</xdr:col>
      <xdr:colOff>1028700</xdr:colOff>
      <xdr:row>2</xdr:row>
      <xdr:rowOff>9525</xdr:rowOff>
    </xdr:from>
    <xdr:to>
      <xdr:col>8</xdr:col>
      <xdr:colOff>1438275</xdr:colOff>
      <xdr:row>3</xdr:row>
      <xdr:rowOff>114300</xdr:rowOff>
    </xdr:to>
    <xdr:sp macro="" textlink="">
      <xdr:nvSpPr>
        <xdr:cNvPr id="168" name="Auto Shape 3">
          <a:hlinkClick xmlns:r="http://schemas.openxmlformats.org/officeDocument/2006/relationships" r:id="rId6"/>
          <a:extLst>
            <a:ext uri="{FF2B5EF4-FFF2-40B4-BE49-F238E27FC236}">
              <a16:creationId xmlns:a16="http://schemas.microsoft.com/office/drawing/2014/main" id="{00000000-0008-0000-1E00-0000A8000000}"/>
            </a:ext>
          </a:extLst>
        </xdr:cNvPr>
        <xdr:cNvSpPr/>
      </xdr:nvSpPr>
      <xdr:spPr>
        <a:xfrm>
          <a:off x="4257675" y="514350"/>
          <a:ext cx="2743200" cy="295275"/>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SERVICE DELIVERY</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7</xdr:col>
          <xdr:colOff>0</xdr:colOff>
          <xdr:row>182</xdr:row>
          <xdr:rowOff>0</xdr:rowOff>
        </xdr:to>
        <xdr:sp macro="" textlink="">
          <xdr:nvSpPr>
            <xdr:cNvPr id="470473" name="bpmDropDownFLU1317" hidden="1">
              <a:extLst>
                <a:ext uri="{63B3BB69-23CF-44E3-9099-C40C66FF867C}">
                  <a14:compatExt spid="_x0000_s470473"/>
                </a:ext>
                <a:ext uri="{FF2B5EF4-FFF2-40B4-BE49-F238E27FC236}">
                  <a16:creationId xmlns:a16="http://schemas.microsoft.com/office/drawing/2014/main" id="{00000000-0008-0000-1E00-0000C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0</xdr:rowOff>
        </xdr:from>
        <xdr:to>
          <xdr:col>7</xdr:col>
          <xdr:colOff>0</xdr:colOff>
          <xdr:row>183</xdr:row>
          <xdr:rowOff>0</xdr:rowOff>
        </xdr:to>
        <xdr:sp macro="" textlink="">
          <xdr:nvSpPr>
            <xdr:cNvPr id="470474" name="bpmDropDownFLU1318" hidden="1">
              <a:extLst>
                <a:ext uri="{63B3BB69-23CF-44E3-9099-C40C66FF867C}">
                  <a14:compatExt spid="_x0000_s470474"/>
                </a:ext>
                <a:ext uri="{FF2B5EF4-FFF2-40B4-BE49-F238E27FC236}">
                  <a16:creationId xmlns:a16="http://schemas.microsoft.com/office/drawing/2014/main" id="{00000000-0008-0000-1E00-0000C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183</xdr:row>
          <xdr:rowOff>0</xdr:rowOff>
        </xdr:from>
        <xdr:to>
          <xdr:col>7</xdr:col>
          <xdr:colOff>0</xdr:colOff>
          <xdr:row>184</xdr:row>
          <xdr:rowOff>0</xdr:rowOff>
        </xdr:to>
        <xdr:sp macro="" textlink="">
          <xdr:nvSpPr>
            <xdr:cNvPr id="470475" name="bpmDropDownFLU1319" hidden="1">
              <a:extLst>
                <a:ext uri="{63B3BB69-23CF-44E3-9099-C40C66FF867C}">
                  <a14:compatExt spid="_x0000_s470475"/>
                </a:ext>
                <a:ext uri="{FF2B5EF4-FFF2-40B4-BE49-F238E27FC236}">
                  <a16:creationId xmlns:a16="http://schemas.microsoft.com/office/drawing/2014/main" id="{00000000-0008-0000-1E00-0000C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7</xdr:col>
          <xdr:colOff>0</xdr:colOff>
          <xdr:row>185</xdr:row>
          <xdr:rowOff>0</xdr:rowOff>
        </xdr:to>
        <xdr:sp macro="" textlink="">
          <xdr:nvSpPr>
            <xdr:cNvPr id="470476" name="bpmDropDownFLU1320" hidden="1">
              <a:extLst>
                <a:ext uri="{63B3BB69-23CF-44E3-9099-C40C66FF867C}">
                  <a14:compatExt spid="_x0000_s470476"/>
                </a:ext>
                <a:ext uri="{FF2B5EF4-FFF2-40B4-BE49-F238E27FC236}">
                  <a16:creationId xmlns:a16="http://schemas.microsoft.com/office/drawing/2014/main" id="{00000000-0008-0000-1E00-0000C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185</xdr:row>
          <xdr:rowOff>0</xdr:rowOff>
        </xdr:from>
        <xdr:to>
          <xdr:col>7</xdr:col>
          <xdr:colOff>0</xdr:colOff>
          <xdr:row>186</xdr:row>
          <xdr:rowOff>0</xdr:rowOff>
        </xdr:to>
        <xdr:sp macro="" textlink="">
          <xdr:nvSpPr>
            <xdr:cNvPr id="470477" name="bpmDropDownFLU1321" hidden="1">
              <a:extLst>
                <a:ext uri="{63B3BB69-23CF-44E3-9099-C40C66FF867C}">
                  <a14:compatExt spid="_x0000_s470477"/>
                </a:ext>
                <a:ext uri="{FF2B5EF4-FFF2-40B4-BE49-F238E27FC236}">
                  <a16:creationId xmlns:a16="http://schemas.microsoft.com/office/drawing/2014/main" id="{00000000-0008-0000-1E00-0000C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0</xdr:rowOff>
        </xdr:from>
        <xdr:to>
          <xdr:col>7</xdr:col>
          <xdr:colOff>0</xdr:colOff>
          <xdr:row>187</xdr:row>
          <xdr:rowOff>0</xdr:rowOff>
        </xdr:to>
        <xdr:sp macro="" textlink="">
          <xdr:nvSpPr>
            <xdr:cNvPr id="470478" name="bpmDropDownFLU1322" hidden="1">
              <a:extLst>
                <a:ext uri="{63B3BB69-23CF-44E3-9099-C40C66FF867C}">
                  <a14:compatExt spid="_x0000_s470478"/>
                </a:ext>
                <a:ext uri="{FF2B5EF4-FFF2-40B4-BE49-F238E27FC236}">
                  <a16:creationId xmlns:a16="http://schemas.microsoft.com/office/drawing/2014/main" id="{00000000-0008-0000-1E00-0000C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7</xdr:col>
          <xdr:colOff>0</xdr:colOff>
          <xdr:row>188</xdr:row>
          <xdr:rowOff>0</xdr:rowOff>
        </xdr:to>
        <xdr:sp macro="" textlink="">
          <xdr:nvSpPr>
            <xdr:cNvPr id="470479" name="bpmDropDownFLU1323" hidden="1">
              <a:extLst>
                <a:ext uri="{63B3BB69-23CF-44E3-9099-C40C66FF867C}">
                  <a14:compatExt spid="_x0000_s470479"/>
                </a:ext>
                <a:ext uri="{FF2B5EF4-FFF2-40B4-BE49-F238E27FC236}">
                  <a16:creationId xmlns:a16="http://schemas.microsoft.com/office/drawing/2014/main" id="{00000000-0008-0000-1E00-0000C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188</xdr:row>
          <xdr:rowOff>0</xdr:rowOff>
        </xdr:from>
        <xdr:to>
          <xdr:col>7</xdr:col>
          <xdr:colOff>0</xdr:colOff>
          <xdr:row>189</xdr:row>
          <xdr:rowOff>0</xdr:rowOff>
        </xdr:to>
        <xdr:sp macro="" textlink="">
          <xdr:nvSpPr>
            <xdr:cNvPr id="470480" name="bpmDropDownFLU1324" hidden="1">
              <a:extLst>
                <a:ext uri="{63B3BB69-23CF-44E3-9099-C40C66FF867C}">
                  <a14:compatExt spid="_x0000_s470480"/>
                </a:ext>
                <a:ext uri="{FF2B5EF4-FFF2-40B4-BE49-F238E27FC236}">
                  <a16:creationId xmlns:a16="http://schemas.microsoft.com/office/drawing/2014/main" id="{00000000-0008-0000-1E00-0000D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0</xdr:rowOff>
        </xdr:from>
        <xdr:to>
          <xdr:col>7</xdr:col>
          <xdr:colOff>0</xdr:colOff>
          <xdr:row>190</xdr:row>
          <xdr:rowOff>0</xdr:rowOff>
        </xdr:to>
        <xdr:sp macro="" textlink="">
          <xdr:nvSpPr>
            <xdr:cNvPr id="470482" name="bpmDropDownFLU1326" hidden="1">
              <a:extLst>
                <a:ext uri="{63B3BB69-23CF-44E3-9099-C40C66FF867C}">
                  <a14:compatExt spid="_x0000_s470482"/>
                </a:ext>
                <a:ext uri="{FF2B5EF4-FFF2-40B4-BE49-F238E27FC236}">
                  <a16:creationId xmlns:a16="http://schemas.microsoft.com/office/drawing/2014/main" id="{00000000-0008-0000-1E00-0000D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0</xdr:rowOff>
        </xdr:from>
        <xdr:to>
          <xdr:col>7</xdr:col>
          <xdr:colOff>0</xdr:colOff>
          <xdr:row>191</xdr:row>
          <xdr:rowOff>0</xdr:rowOff>
        </xdr:to>
        <xdr:sp macro="" textlink="">
          <xdr:nvSpPr>
            <xdr:cNvPr id="470483" name="bpmDropDownFLU1327" hidden="1">
              <a:extLst>
                <a:ext uri="{63B3BB69-23CF-44E3-9099-C40C66FF867C}">
                  <a14:compatExt spid="_x0000_s470483"/>
                </a:ext>
                <a:ext uri="{FF2B5EF4-FFF2-40B4-BE49-F238E27FC236}">
                  <a16:creationId xmlns:a16="http://schemas.microsoft.com/office/drawing/2014/main" id="{00000000-0008-0000-1E00-0000D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191</xdr:row>
          <xdr:rowOff>0</xdr:rowOff>
        </xdr:from>
        <xdr:to>
          <xdr:col>7</xdr:col>
          <xdr:colOff>0</xdr:colOff>
          <xdr:row>192</xdr:row>
          <xdr:rowOff>0</xdr:rowOff>
        </xdr:to>
        <xdr:sp macro="" textlink="">
          <xdr:nvSpPr>
            <xdr:cNvPr id="470484" name="bpmDropDownFLU1328" hidden="1">
              <a:extLst>
                <a:ext uri="{63B3BB69-23CF-44E3-9099-C40C66FF867C}">
                  <a14:compatExt spid="_x0000_s470484"/>
                </a:ext>
                <a:ext uri="{FF2B5EF4-FFF2-40B4-BE49-F238E27FC236}">
                  <a16:creationId xmlns:a16="http://schemas.microsoft.com/office/drawing/2014/main" id="{00000000-0008-0000-1E00-0000D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7</xdr:col>
          <xdr:colOff>0</xdr:colOff>
          <xdr:row>193</xdr:row>
          <xdr:rowOff>0</xdr:rowOff>
        </xdr:to>
        <xdr:sp macro="" textlink="">
          <xdr:nvSpPr>
            <xdr:cNvPr id="470485" name="bpmDropDownFLU1329" hidden="1">
              <a:extLst>
                <a:ext uri="{63B3BB69-23CF-44E3-9099-C40C66FF867C}">
                  <a14:compatExt spid="_x0000_s470485"/>
                </a:ext>
                <a:ext uri="{FF2B5EF4-FFF2-40B4-BE49-F238E27FC236}">
                  <a16:creationId xmlns:a16="http://schemas.microsoft.com/office/drawing/2014/main" id="{00000000-0008-0000-1E00-0000D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7</xdr:col>
          <xdr:colOff>0</xdr:colOff>
          <xdr:row>194</xdr:row>
          <xdr:rowOff>0</xdr:rowOff>
        </xdr:to>
        <xdr:sp macro="" textlink="">
          <xdr:nvSpPr>
            <xdr:cNvPr id="470486" name="bpmDropDownFLU1330" hidden="1">
              <a:extLst>
                <a:ext uri="{63B3BB69-23CF-44E3-9099-C40C66FF867C}">
                  <a14:compatExt spid="_x0000_s470486"/>
                </a:ext>
                <a:ext uri="{FF2B5EF4-FFF2-40B4-BE49-F238E27FC236}">
                  <a16:creationId xmlns:a16="http://schemas.microsoft.com/office/drawing/2014/main" id="{00000000-0008-0000-1E00-0000D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7</xdr:col>
          <xdr:colOff>0</xdr:colOff>
          <xdr:row>195</xdr:row>
          <xdr:rowOff>0</xdr:rowOff>
        </xdr:to>
        <xdr:sp macro="" textlink="">
          <xdr:nvSpPr>
            <xdr:cNvPr id="470487" name="bpmDropDownFLU1331" hidden="1">
              <a:extLst>
                <a:ext uri="{63B3BB69-23CF-44E3-9099-C40C66FF867C}">
                  <a14:compatExt spid="_x0000_s470487"/>
                </a:ext>
                <a:ext uri="{FF2B5EF4-FFF2-40B4-BE49-F238E27FC236}">
                  <a16:creationId xmlns:a16="http://schemas.microsoft.com/office/drawing/2014/main" id="{00000000-0008-0000-1E00-0000D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7</xdr:col>
          <xdr:colOff>0</xdr:colOff>
          <xdr:row>196</xdr:row>
          <xdr:rowOff>0</xdr:rowOff>
        </xdr:to>
        <xdr:sp macro="" textlink="">
          <xdr:nvSpPr>
            <xdr:cNvPr id="470488" name="bpmDropDownFLU1332" hidden="1">
              <a:extLst>
                <a:ext uri="{63B3BB69-23CF-44E3-9099-C40C66FF867C}">
                  <a14:compatExt spid="_x0000_s470488"/>
                </a:ext>
                <a:ext uri="{FF2B5EF4-FFF2-40B4-BE49-F238E27FC236}">
                  <a16:creationId xmlns:a16="http://schemas.microsoft.com/office/drawing/2014/main" id="{00000000-0008-0000-1E00-0000D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181</xdr:row>
          <xdr:rowOff>0</xdr:rowOff>
        </xdr:from>
        <xdr:to>
          <xdr:col>9</xdr:col>
          <xdr:colOff>0</xdr:colOff>
          <xdr:row>182</xdr:row>
          <xdr:rowOff>0</xdr:rowOff>
        </xdr:to>
        <xdr:sp macro="" textlink="">
          <xdr:nvSpPr>
            <xdr:cNvPr id="470489" name="bpmDropDownFLU1333" hidden="1">
              <a:extLst>
                <a:ext uri="{63B3BB69-23CF-44E3-9099-C40C66FF867C}">
                  <a14:compatExt spid="_x0000_s470489"/>
                </a:ext>
                <a:ext uri="{FF2B5EF4-FFF2-40B4-BE49-F238E27FC236}">
                  <a16:creationId xmlns:a16="http://schemas.microsoft.com/office/drawing/2014/main" id="{00000000-0008-0000-1E00-0000D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182</xdr:row>
          <xdr:rowOff>0</xdr:rowOff>
        </xdr:from>
        <xdr:to>
          <xdr:col>9</xdr:col>
          <xdr:colOff>0</xdr:colOff>
          <xdr:row>183</xdr:row>
          <xdr:rowOff>0</xdr:rowOff>
        </xdr:to>
        <xdr:sp macro="" textlink="">
          <xdr:nvSpPr>
            <xdr:cNvPr id="470490" name="bpmDropDownFLU1334" hidden="1">
              <a:extLst>
                <a:ext uri="{63B3BB69-23CF-44E3-9099-C40C66FF867C}">
                  <a14:compatExt spid="_x0000_s470490"/>
                </a:ext>
                <a:ext uri="{FF2B5EF4-FFF2-40B4-BE49-F238E27FC236}">
                  <a16:creationId xmlns:a16="http://schemas.microsoft.com/office/drawing/2014/main" id="{00000000-0008-0000-1E00-0000D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183</xdr:row>
          <xdr:rowOff>0</xdr:rowOff>
        </xdr:from>
        <xdr:to>
          <xdr:col>9</xdr:col>
          <xdr:colOff>0</xdr:colOff>
          <xdr:row>184</xdr:row>
          <xdr:rowOff>0</xdr:rowOff>
        </xdr:to>
        <xdr:sp macro="" textlink="">
          <xdr:nvSpPr>
            <xdr:cNvPr id="470491" name="bpmDropDownFLU1335" hidden="1">
              <a:extLst>
                <a:ext uri="{63B3BB69-23CF-44E3-9099-C40C66FF867C}">
                  <a14:compatExt spid="_x0000_s470491"/>
                </a:ext>
                <a:ext uri="{FF2B5EF4-FFF2-40B4-BE49-F238E27FC236}">
                  <a16:creationId xmlns:a16="http://schemas.microsoft.com/office/drawing/2014/main" id="{00000000-0008-0000-1E00-0000D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184</xdr:row>
          <xdr:rowOff>0</xdr:rowOff>
        </xdr:from>
        <xdr:to>
          <xdr:col>9</xdr:col>
          <xdr:colOff>0</xdr:colOff>
          <xdr:row>185</xdr:row>
          <xdr:rowOff>0</xdr:rowOff>
        </xdr:to>
        <xdr:sp macro="" textlink="">
          <xdr:nvSpPr>
            <xdr:cNvPr id="470492" name="bpmDropDownFLU1336" hidden="1">
              <a:extLst>
                <a:ext uri="{63B3BB69-23CF-44E3-9099-C40C66FF867C}">
                  <a14:compatExt spid="_x0000_s470492"/>
                </a:ext>
                <a:ext uri="{FF2B5EF4-FFF2-40B4-BE49-F238E27FC236}">
                  <a16:creationId xmlns:a16="http://schemas.microsoft.com/office/drawing/2014/main" id="{00000000-0008-0000-1E00-0000D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185</xdr:row>
          <xdr:rowOff>0</xdr:rowOff>
        </xdr:from>
        <xdr:to>
          <xdr:col>9</xdr:col>
          <xdr:colOff>0</xdr:colOff>
          <xdr:row>186</xdr:row>
          <xdr:rowOff>0</xdr:rowOff>
        </xdr:to>
        <xdr:sp macro="" textlink="">
          <xdr:nvSpPr>
            <xdr:cNvPr id="470493" name="bpmDropDownFLU1337" hidden="1">
              <a:extLst>
                <a:ext uri="{63B3BB69-23CF-44E3-9099-C40C66FF867C}">
                  <a14:compatExt spid="_x0000_s470493"/>
                </a:ext>
                <a:ext uri="{FF2B5EF4-FFF2-40B4-BE49-F238E27FC236}">
                  <a16:creationId xmlns:a16="http://schemas.microsoft.com/office/drawing/2014/main" id="{00000000-0008-0000-1E00-0000D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186</xdr:row>
          <xdr:rowOff>0</xdr:rowOff>
        </xdr:from>
        <xdr:to>
          <xdr:col>9</xdr:col>
          <xdr:colOff>0</xdr:colOff>
          <xdr:row>187</xdr:row>
          <xdr:rowOff>0</xdr:rowOff>
        </xdr:to>
        <xdr:sp macro="" textlink="">
          <xdr:nvSpPr>
            <xdr:cNvPr id="470494" name="bpmDropDownFLU1338" hidden="1">
              <a:extLst>
                <a:ext uri="{63B3BB69-23CF-44E3-9099-C40C66FF867C}">
                  <a14:compatExt spid="_x0000_s470494"/>
                </a:ext>
                <a:ext uri="{FF2B5EF4-FFF2-40B4-BE49-F238E27FC236}">
                  <a16:creationId xmlns:a16="http://schemas.microsoft.com/office/drawing/2014/main" id="{00000000-0008-0000-1E00-0000D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187</xdr:row>
          <xdr:rowOff>0</xdr:rowOff>
        </xdr:from>
        <xdr:to>
          <xdr:col>9</xdr:col>
          <xdr:colOff>0</xdr:colOff>
          <xdr:row>188</xdr:row>
          <xdr:rowOff>0</xdr:rowOff>
        </xdr:to>
        <xdr:sp macro="" textlink="">
          <xdr:nvSpPr>
            <xdr:cNvPr id="470495" name="bpmDropDownFLU1339" hidden="1">
              <a:extLst>
                <a:ext uri="{63B3BB69-23CF-44E3-9099-C40C66FF867C}">
                  <a14:compatExt spid="_x0000_s470495"/>
                </a:ext>
                <a:ext uri="{FF2B5EF4-FFF2-40B4-BE49-F238E27FC236}">
                  <a16:creationId xmlns:a16="http://schemas.microsoft.com/office/drawing/2014/main" id="{00000000-0008-0000-1E00-0000D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188</xdr:row>
          <xdr:rowOff>0</xdr:rowOff>
        </xdr:from>
        <xdr:to>
          <xdr:col>9</xdr:col>
          <xdr:colOff>0</xdr:colOff>
          <xdr:row>189</xdr:row>
          <xdr:rowOff>0</xdr:rowOff>
        </xdr:to>
        <xdr:sp macro="" textlink="">
          <xdr:nvSpPr>
            <xdr:cNvPr id="470496" name="bpmDropDownFLU1340" hidden="1">
              <a:extLst>
                <a:ext uri="{63B3BB69-23CF-44E3-9099-C40C66FF867C}">
                  <a14:compatExt spid="_x0000_s470496"/>
                </a:ext>
                <a:ext uri="{FF2B5EF4-FFF2-40B4-BE49-F238E27FC236}">
                  <a16:creationId xmlns:a16="http://schemas.microsoft.com/office/drawing/2014/main" id="{00000000-0008-0000-1E00-0000E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189</xdr:row>
          <xdr:rowOff>0</xdr:rowOff>
        </xdr:from>
        <xdr:to>
          <xdr:col>9</xdr:col>
          <xdr:colOff>0</xdr:colOff>
          <xdr:row>190</xdr:row>
          <xdr:rowOff>0</xdr:rowOff>
        </xdr:to>
        <xdr:sp macro="" textlink="">
          <xdr:nvSpPr>
            <xdr:cNvPr id="470498" name="bpmDropDownFLU1342" hidden="1">
              <a:extLst>
                <a:ext uri="{63B3BB69-23CF-44E3-9099-C40C66FF867C}">
                  <a14:compatExt spid="_x0000_s470498"/>
                </a:ext>
                <a:ext uri="{FF2B5EF4-FFF2-40B4-BE49-F238E27FC236}">
                  <a16:creationId xmlns:a16="http://schemas.microsoft.com/office/drawing/2014/main" id="{00000000-0008-0000-1E00-0000E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190</xdr:row>
          <xdr:rowOff>0</xdr:rowOff>
        </xdr:from>
        <xdr:to>
          <xdr:col>9</xdr:col>
          <xdr:colOff>0</xdr:colOff>
          <xdr:row>191</xdr:row>
          <xdr:rowOff>0</xdr:rowOff>
        </xdr:to>
        <xdr:sp macro="" textlink="">
          <xdr:nvSpPr>
            <xdr:cNvPr id="470499" name="bpmDropDownFLU1343" hidden="1">
              <a:extLst>
                <a:ext uri="{63B3BB69-23CF-44E3-9099-C40C66FF867C}">
                  <a14:compatExt spid="_x0000_s470499"/>
                </a:ext>
                <a:ext uri="{FF2B5EF4-FFF2-40B4-BE49-F238E27FC236}">
                  <a16:creationId xmlns:a16="http://schemas.microsoft.com/office/drawing/2014/main" id="{00000000-0008-0000-1E00-0000E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191</xdr:row>
          <xdr:rowOff>0</xdr:rowOff>
        </xdr:from>
        <xdr:to>
          <xdr:col>9</xdr:col>
          <xdr:colOff>0</xdr:colOff>
          <xdr:row>192</xdr:row>
          <xdr:rowOff>0</xdr:rowOff>
        </xdr:to>
        <xdr:sp macro="" textlink="">
          <xdr:nvSpPr>
            <xdr:cNvPr id="470500" name="bpmDropDownFLU1344" hidden="1">
              <a:extLst>
                <a:ext uri="{63B3BB69-23CF-44E3-9099-C40C66FF867C}">
                  <a14:compatExt spid="_x0000_s470500"/>
                </a:ext>
                <a:ext uri="{FF2B5EF4-FFF2-40B4-BE49-F238E27FC236}">
                  <a16:creationId xmlns:a16="http://schemas.microsoft.com/office/drawing/2014/main" id="{00000000-0008-0000-1E00-0000E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192</xdr:row>
          <xdr:rowOff>0</xdr:rowOff>
        </xdr:from>
        <xdr:to>
          <xdr:col>9</xdr:col>
          <xdr:colOff>0</xdr:colOff>
          <xdr:row>193</xdr:row>
          <xdr:rowOff>0</xdr:rowOff>
        </xdr:to>
        <xdr:sp macro="" textlink="">
          <xdr:nvSpPr>
            <xdr:cNvPr id="470501" name="bpmDropDownFLU1345" hidden="1">
              <a:extLst>
                <a:ext uri="{63B3BB69-23CF-44E3-9099-C40C66FF867C}">
                  <a14:compatExt spid="_x0000_s470501"/>
                </a:ext>
                <a:ext uri="{FF2B5EF4-FFF2-40B4-BE49-F238E27FC236}">
                  <a16:creationId xmlns:a16="http://schemas.microsoft.com/office/drawing/2014/main" id="{00000000-0008-0000-1E00-0000E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193</xdr:row>
          <xdr:rowOff>0</xdr:rowOff>
        </xdr:from>
        <xdr:to>
          <xdr:col>9</xdr:col>
          <xdr:colOff>0</xdr:colOff>
          <xdr:row>194</xdr:row>
          <xdr:rowOff>0</xdr:rowOff>
        </xdr:to>
        <xdr:sp macro="" textlink="">
          <xdr:nvSpPr>
            <xdr:cNvPr id="470502" name="bpmDropDownFLU1346" hidden="1">
              <a:extLst>
                <a:ext uri="{63B3BB69-23CF-44E3-9099-C40C66FF867C}">
                  <a14:compatExt spid="_x0000_s470502"/>
                </a:ext>
                <a:ext uri="{FF2B5EF4-FFF2-40B4-BE49-F238E27FC236}">
                  <a16:creationId xmlns:a16="http://schemas.microsoft.com/office/drawing/2014/main" id="{00000000-0008-0000-1E00-0000E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194</xdr:row>
          <xdr:rowOff>0</xdr:rowOff>
        </xdr:from>
        <xdr:to>
          <xdr:col>9</xdr:col>
          <xdr:colOff>0</xdr:colOff>
          <xdr:row>195</xdr:row>
          <xdr:rowOff>0</xdr:rowOff>
        </xdr:to>
        <xdr:sp macro="" textlink="">
          <xdr:nvSpPr>
            <xdr:cNvPr id="470503" name="bpmDropDownFLU1347" hidden="1">
              <a:extLst>
                <a:ext uri="{63B3BB69-23CF-44E3-9099-C40C66FF867C}">
                  <a14:compatExt spid="_x0000_s470503"/>
                </a:ext>
                <a:ext uri="{FF2B5EF4-FFF2-40B4-BE49-F238E27FC236}">
                  <a16:creationId xmlns:a16="http://schemas.microsoft.com/office/drawing/2014/main" id="{00000000-0008-0000-1E00-0000E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195</xdr:row>
          <xdr:rowOff>0</xdr:rowOff>
        </xdr:from>
        <xdr:to>
          <xdr:col>9</xdr:col>
          <xdr:colOff>0</xdr:colOff>
          <xdr:row>196</xdr:row>
          <xdr:rowOff>0</xdr:rowOff>
        </xdr:to>
        <xdr:sp macro="" textlink="">
          <xdr:nvSpPr>
            <xdr:cNvPr id="470504" name="bpmDropDownFLU1348" hidden="1">
              <a:extLst>
                <a:ext uri="{63B3BB69-23CF-44E3-9099-C40C66FF867C}">
                  <a14:compatExt spid="_x0000_s470504"/>
                </a:ext>
                <a:ext uri="{FF2B5EF4-FFF2-40B4-BE49-F238E27FC236}">
                  <a16:creationId xmlns:a16="http://schemas.microsoft.com/office/drawing/2014/main" id="{00000000-0008-0000-1E00-0000E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7</xdr:col>
          <xdr:colOff>0</xdr:colOff>
          <xdr:row>201</xdr:row>
          <xdr:rowOff>0</xdr:rowOff>
        </xdr:to>
        <xdr:sp macro="" textlink="">
          <xdr:nvSpPr>
            <xdr:cNvPr id="470505" name="bpmDropDownFLU1349" hidden="1">
              <a:extLst>
                <a:ext uri="{63B3BB69-23CF-44E3-9099-C40C66FF867C}">
                  <a14:compatExt spid="_x0000_s470505"/>
                </a:ext>
                <a:ext uri="{FF2B5EF4-FFF2-40B4-BE49-F238E27FC236}">
                  <a16:creationId xmlns:a16="http://schemas.microsoft.com/office/drawing/2014/main" id="{00000000-0008-0000-1E00-0000E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201</xdr:row>
          <xdr:rowOff>0</xdr:rowOff>
        </xdr:from>
        <xdr:to>
          <xdr:col>7</xdr:col>
          <xdr:colOff>0</xdr:colOff>
          <xdr:row>202</xdr:row>
          <xdr:rowOff>0</xdr:rowOff>
        </xdr:to>
        <xdr:sp macro="" textlink="">
          <xdr:nvSpPr>
            <xdr:cNvPr id="470506" name="bpmDropDownFLU1350" hidden="1">
              <a:extLst>
                <a:ext uri="{63B3BB69-23CF-44E3-9099-C40C66FF867C}">
                  <a14:compatExt spid="_x0000_s470506"/>
                </a:ext>
                <a:ext uri="{FF2B5EF4-FFF2-40B4-BE49-F238E27FC236}">
                  <a16:creationId xmlns:a16="http://schemas.microsoft.com/office/drawing/2014/main" id="{00000000-0008-0000-1E00-0000E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7</xdr:col>
          <xdr:colOff>0</xdr:colOff>
          <xdr:row>203</xdr:row>
          <xdr:rowOff>0</xdr:rowOff>
        </xdr:to>
        <xdr:sp macro="" textlink="">
          <xdr:nvSpPr>
            <xdr:cNvPr id="470507" name="bpmDropDownFLU1351" hidden="1">
              <a:extLst>
                <a:ext uri="{63B3BB69-23CF-44E3-9099-C40C66FF867C}">
                  <a14:compatExt spid="_x0000_s470507"/>
                </a:ext>
                <a:ext uri="{FF2B5EF4-FFF2-40B4-BE49-F238E27FC236}">
                  <a16:creationId xmlns:a16="http://schemas.microsoft.com/office/drawing/2014/main" id="{00000000-0008-0000-1E00-0000E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0</xdr:rowOff>
        </xdr:from>
        <xdr:to>
          <xdr:col>7</xdr:col>
          <xdr:colOff>0</xdr:colOff>
          <xdr:row>204</xdr:row>
          <xdr:rowOff>0</xdr:rowOff>
        </xdr:to>
        <xdr:sp macro="" textlink="">
          <xdr:nvSpPr>
            <xdr:cNvPr id="470508" name="bpmDropDownFLU1352" hidden="1">
              <a:extLst>
                <a:ext uri="{63B3BB69-23CF-44E3-9099-C40C66FF867C}">
                  <a14:compatExt spid="_x0000_s470508"/>
                </a:ext>
                <a:ext uri="{FF2B5EF4-FFF2-40B4-BE49-F238E27FC236}">
                  <a16:creationId xmlns:a16="http://schemas.microsoft.com/office/drawing/2014/main" id="{00000000-0008-0000-1E00-0000E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204</xdr:row>
          <xdr:rowOff>0</xdr:rowOff>
        </xdr:from>
        <xdr:to>
          <xdr:col>7</xdr:col>
          <xdr:colOff>0</xdr:colOff>
          <xdr:row>205</xdr:row>
          <xdr:rowOff>0</xdr:rowOff>
        </xdr:to>
        <xdr:sp macro="" textlink="">
          <xdr:nvSpPr>
            <xdr:cNvPr id="470509" name="bpmDropDownFLU1353" hidden="1">
              <a:extLst>
                <a:ext uri="{63B3BB69-23CF-44E3-9099-C40C66FF867C}">
                  <a14:compatExt spid="_x0000_s470509"/>
                </a:ext>
                <a:ext uri="{FF2B5EF4-FFF2-40B4-BE49-F238E27FC236}">
                  <a16:creationId xmlns:a16="http://schemas.microsoft.com/office/drawing/2014/main" id="{00000000-0008-0000-1E00-0000E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7</xdr:col>
          <xdr:colOff>0</xdr:colOff>
          <xdr:row>206</xdr:row>
          <xdr:rowOff>0</xdr:rowOff>
        </xdr:to>
        <xdr:sp macro="" textlink="">
          <xdr:nvSpPr>
            <xdr:cNvPr id="470510" name="bpmDropDownFLU1354" hidden="1">
              <a:extLst>
                <a:ext uri="{63B3BB69-23CF-44E3-9099-C40C66FF867C}">
                  <a14:compatExt spid="_x0000_s470510"/>
                </a:ext>
                <a:ext uri="{FF2B5EF4-FFF2-40B4-BE49-F238E27FC236}">
                  <a16:creationId xmlns:a16="http://schemas.microsoft.com/office/drawing/2014/main" id="{00000000-0008-0000-1E00-0000E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7</xdr:col>
          <xdr:colOff>0</xdr:colOff>
          <xdr:row>207</xdr:row>
          <xdr:rowOff>0</xdr:rowOff>
        </xdr:to>
        <xdr:sp macro="" textlink="">
          <xdr:nvSpPr>
            <xdr:cNvPr id="470511" name="bpmDropDownFLU1355" hidden="1">
              <a:extLst>
                <a:ext uri="{63B3BB69-23CF-44E3-9099-C40C66FF867C}">
                  <a14:compatExt spid="_x0000_s470511"/>
                </a:ext>
                <a:ext uri="{FF2B5EF4-FFF2-40B4-BE49-F238E27FC236}">
                  <a16:creationId xmlns:a16="http://schemas.microsoft.com/office/drawing/2014/main" id="{00000000-0008-0000-1E00-0000E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207</xdr:row>
          <xdr:rowOff>0</xdr:rowOff>
        </xdr:from>
        <xdr:to>
          <xdr:col>7</xdr:col>
          <xdr:colOff>0</xdr:colOff>
          <xdr:row>208</xdr:row>
          <xdr:rowOff>0</xdr:rowOff>
        </xdr:to>
        <xdr:sp macro="" textlink="">
          <xdr:nvSpPr>
            <xdr:cNvPr id="470512" name="bpmDropDownFLU1356" hidden="1">
              <a:extLst>
                <a:ext uri="{63B3BB69-23CF-44E3-9099-C40C66FF867C}">
                  <a14:compatExt spid="_x0000_s470512"/>
                </a:ext>
                <a:ext uri="{FF2B5EF4-FFF2-40B4-BE49-F238E27FC236}">
                  <a16:creationId xmlns:a16="http://schemas.microsoft.com/office/drawing/2014/main" id="{00000000-0008-0000-1E00-0000F0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7</xdr:col>
          <xdr:colOff>0</xdr:colOff>
          <xdr:row>209</xdr:row>
          <xdr:rowOff>0</xdr:rowOff>
        </xdr:to>
        <xdr:sp macro="" textlink="">
          <xdr:nvSpPr>
            <xdr:cNvPr id="470514" name="bpmDropDownFLU1358" hidden="1">
              <a:extLst>
                <a:ext uri="{63B3BB69-23CF-44E3-9099-C40C66FF867C}">
                  <a14:compatExt spid="_x0000_s470514"/>
                </a:ext>
                <a:ext uri="{FF2B5EF4-FFF2-40B4-BE49-F238E27FC236}">
                  <a16:creationId xmlns:a16="http://schemas.microsoft.com/office/drawing/2014/main" id="{00000000-0008-0000-1E00-0000F2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0</xdr:rowOff>
        </xdr:from>
        <xdr:to>
          <xdr:col>7</xdr:col>
          <xdr:colOff>0</xdr:colOff>
          <xdr:row>210</xdr:row>
          <xdr:rowOff>0</xdr:rowOff>
        </xdr:to>
        <xdr:sp macro="" textlink="">
          <xdr:nvSpPr>
            <xdr:cNvPr id="470515" name="bpmDropDownFLU1359" hidden="1">
              <a:extLst>
                <a:ext uri="{63B3BB69-23CF-44E3-9099-C40C66FF867C}">
                  <a14:compatExt spid="_x0000_s470515"/>
                </a:ext>
                <a:ext uri="{FF2B5EF4-FFF2-40B4-BE49-F238E27FC236}">
                  <a16:creationId xmlns:a16="http://schemas.microsoft.com/office/drawing/2014/main" id="{00000000-0008-0000-1E00-0000F3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7</xdr:col>
          <xdr:colOff>0</xdr:colOff>
          <xdr:row>211</xdr:row>
          <xdr:rowOff>0</xdr:rowOff>
        </xdr:to>
        <xdr:sp macro="" textlink="">
          <xdr:nvSpPr>
            <xdr:cNvPr id="470516" name="bpmDropDownFLU1360" hidden="1">
              <a:extLst>
                <a:ext uri="{63B3BB69-23CF-44E3-9099-C40C66FF867C}">
                  <a14:compatExt spid="_x0000_s470516"/>
                </a:ext>
                <a:ext uri="{FF2B5EF4-FFF2-40B4-BE49-F238E27FC236}">
                  <a16:creationId xmlns:a16="http://schemas.microsoft.com/office/drawing/2014/main" id="{00000000-0008-0000-1E00-0000F4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7</xdr:col>
          <xdr:colOff>0</xdr:colOff>
          <xdr:row>212</xdr:row>
          <xdr:rowOff>0</xdr:rowOff>
        </xdr:to>
        <xdr:sp macro="" textlink="">
          <xdr:nvSpPr>
            <xdr:cNvPr id="470517" name="bpmDropDownFLU1361" hidden="1">
              <a:extLst>
                <a:ext uri="{63B3BB69-23CF-44E3-9099-C40C66FF867C}">
                  <a14:compatExt spid="_x0000_s470517"/>
                </a:ext>
                <a:ext uri="{FF2B5EF4-FFF2-40B4-BE49-F238E27FC236}">
                  <a16:creationId xmlns:a16="http://schemas.microsoft.com/office/drawing/2014/main" id="{00000000-0008-0000-1E00-0000F5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0</xdr:rowOff>
        </xdr:from>
        <xdr:to>
          <xdr:col>7</xdr:col>
          <xdr:colOff>0</xdr:colOff>
          <xdr:row>213</xdr:row>
          <xdr:rowOff>0</xdr:rowOff>
        </xdr:to>
        <xdr:sp macro="" textlink="">
          <xdr:nvSpPr>
            <xdr:cNvPr id="470518" name="bpmDropDownFLU1362" hidden="1">
              <a:extLst>
                <a:ext uri="{63B3BB69-23CF-44E3-9099-C40C66FF867C}">
                  <a14:compatExt spid="_x0000_s470518"/>
                </a:ext>
                <a:ext uri="{FF2B5EF4-FFF2-40B4-BE49-F238E27FC236}">
                  <a16:creationId xmlns:a16="http://schemas.microsoft.com/office/drawing/2014/main" id="{00000000-0008-0000-1E00-0000F6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213</xdr:row>
          <xdr:rowOff>0</xdr:rowOff>
        </xdr:from>
        <xdr:to>
          <xdr:col>7</xdr:col>
          <xdr:colOff>0</xdr:colOff>
          <xdr:row>214</xdr:row>
          <xdr:rowOff>0</xdr:rowOff>
        </xdr:to>
        <xdr:sp macro="" textlink="">
          <xdr:nvSpPr>
            <xdr:cNvPr id="470519" name="bpmDropDownFLU1363" hidden="1">
              <a:extLst>
                <a:ext uri="{63B3BB69-23CF-44E3-9099-C40C66FF867C}">
                  <a14:compatExt spid="_x0000_s470519"/>
                </a:ext>
                <a:ext uri="{FF2B5EF4-FFF2-40B4-BE49-F238E27FC236}">
                  <a16:creationId xmlns:a16="http://schemas.microsoft.com/office/drawing/2014/main" id="{00000000-0008-0000-1E00-0000F7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7</xdr:col>
          <xdr:colOff>0</xdr:colOff>
          <xdr:row>215</xdr:row>
          <xdr:rowOff>0</xdr:rowOff>
        </xdr:to>
        <xdr:sp macro="" textlink="">
          <xdr:nvSpPr>
            <xdr:cNvPr id="470520" name="bpmDropDownFLU1364" hidden="1">
              <a:extLst>
                <a:ext uri="{63B3BB69-23CF-44E3-9099-C40C66FF867C}">
                  <a14:compatExt spid="_x0000_s470520"/>
                </a:ext>
                <a:ext uri="{FF2B5EF4-FFF2-40B4-BE49-F238E27FC236}">
                  <a16:creationId xmlns:a16="http://schemas.microsoft.com/office/drawing/2014/main" id="{00000000-0008-0000-1E00-0000F8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7</xdr:col>
          <xdr:colOff>0</xdr:colOff>
          <xdr:row>220</xdr:row>
          <xdr:rowOff>0</xdr:rowOff>
        </xdr:to>
        <xdr:sp macro="" textlink="">
          <xdr:nvSpPr>
            <xdr:cNvPr id="470521" name="bpmDropDownFLU1365" hidden="1">
              <a:extLst>
                <a:ext uri="{63B3BB69-23CF-44E3-9099-C40C66FF867C}">
                  <a14:compatExt spid="_x0000_s470521"/>
                </a:ext>
                <a:ext uri="{FF2B5EF4-FFF2-40B4-BE49-F238E27FC236}">
                  <a16:creationId xmlns:a16="http://schemas.microsoft.com/office/drawing/2014/main" id="{00000000-0008-0000-1E00-0000F9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7</xdr:col>
          <xdr:colOff>0</xdr:colOff>
          <xdr:row>221</xdr:row>
          <xdr:rowOff>0</xdr:rowOff>
        </xdr:to>
        <xdr:sp macro="" textlink="">
          <xdr:nvSpPr>
            <xdr:cNvPr id="470522" name="bpmDropDownFLU1366" hidden="1">
              <a:extLst>
                <a:ext uri="{63B3BB69-23CF-44E3-9099-C40C66FF867C}">
                  <a14:compatExt spid="_x0000_s470522"/>
                </a:ext>
                <a:ext uri="{FF2B5EF4-FFF2-40B4-BE49-F238E27FC236}">
                  <a16:creationId xmlns:a16="http://schemas.microsoft.com/office/drawing/2014/main" id="{00000000-0008-0000-1E00-0000FA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0</xdr:rowOff>
        </xdr:from>
        <xdr:to>
          <xdr:col>7</xdr:col>
          <xdr:colOff>0</xdr:colOff>
          <xdr:row>222</xdr:row>
          <xdr:rowOff>0</xdr:rowOff>
        </xdr:to>
        <xdr:sp macro="" textlink="">
          <xdr:nvSpPr>
            <xdr:cNvPr id="470523" name="bpmDropDownFLU1367" hidden="1">
              <a:extLst>
                <a:ext uri="{63B3BB69-23CF-44E3-9099-C40C66FF867C}">
                  <a14:compatExt spid="_x0000_s470523"/>
                </a:ext>
                <a:ext uri="{FF2B5EF4-FFF2-40B4-BE49-F238E27FC236}">
                  <a16:creationId xmlns:a16="http://schemas.microsoft.com/office/drawing/2014/main" id="{00000000-0008-0000-1E00-0000FB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222</xdr:row>
          <xdr:rowOff>0</xdr:rowOff>
        </xdr:from>
        <xdr:to>
          <xdr:col>7</xdr:col>
          <xdr:colOff>0</xdr:colOff>
          <xdr:row>223</xdr:row>
          <xdr:rowOff>0</xdr:rowOff>
        </xdr:to>
        <xdr:sp macro="" textlink="">
          <xdr:nvSpPr>
            <xdr:cNvPr id="470524" name="bpmDropDownFLU1368" hidden="1">
              <a:extLst>
                <a:ext uri="{63B3BB69-23CF-44E3-9099-C40C66FF867C}">
                  <a14:compatExt spid="_x0000_s470524"/>
                </a:ext>
                <a:ext uri="{FF2B5EF4-FFF2-40B4-BE49-F238E27FC236}">
                  <a16:creationId xmlns:a16="http://schemas.microsoft.com/office/drawing/2014/main" id="{00000000-0008-0000-1E00-0000FC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0</xdr:rowOff>
        </xdr:from>
        <xdr:to>
          <xdr:col>7</xdr:col>
          <xdr:colOff>0</xdr:colOff>
          <xdr:row>224</xdr:row>
          <xdr:rowOff>0</xdr:rowOff>
        </xdr:to>
        <xdr:sp macro="" textlink="">
          <xdr:nvSpPr>
            <xdr:cNvPr id="470525" name="bpmDropDownFLU1369" hidden="1">
              <a:extLst>
                <a:ext uri="{63B3BB69-23CF-44E3-9099-C40C66FF867C}">
                  <a14:compatExt spid="_x0000_s470525"/>
                </a:ext>
                <a:ext uri="{FF2B5EF4-FFF2-40B4-BE49-F238E27FC236}">
                  <a16:creationId xmlns:a16="http://schemas.microsoft.com/office/drawing/2014/main" id="{00000000-0008-0000-1E00-0000FD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224</xdr:row>
          <xdr:rowOff>0</xdr:rowOff>
        </xdr:from>
        <xdr:to>
          <xdr:col>7</xdr:col>
          <xdr:colOff>0</xdr:colOff>
          <xdr:row>225</xdr:row>
          <xdr:rowOff>0</xdr:rowOff>
        </xdr:to>
        <xdr:sp macro="" textlink="">
          <xdr:nvSpPr>
            <xdr:cNvPr id="470526" name="bpmDropDownFLU1370" hidden="1">
              <a:extLst>
                <a:ext uri="{63B3BB69-23CF-44E3-9099-C40C66FF867C}">
                  <a14:compatExt spid="_x0000_s470526"/>
                </a:ext>
                <a:ext uri="{FF2B5EF4-FFF2-40B4-BE49-F238E27FC236}">
                  <a16:creationId xmlns:a16="http://schemas.microsoft.com/office/drawing/2014/main" id="{00000000-0008-0000-1E00-0000FE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225</xdr:row>
          <xdr:rowOff>0</xdr:rowOff>
        </xdr:from>
        <xdr:to>
          <xdr:col>7</xdr:col>
          <xdr:colOff>0</xdr:colOff>
          <xdr:row>226</xdr:row>
          <xdr:rowOff>0</xdr:rowOff>
        </xdr:to>
        <xdr:sp macro="" textlink="">
          <xdr:nvSpPr>
            <xdr:cNvPr id="470527" name="bpmDropDownFLU1371" hidden="1">
              <a:extLst>
                <a:ext uri="{63B3BB69-23CF-44E3-9099-C40C66FF867C}">
                  <a14:compatExt spid="_x0000_s470527"/>
                </a:ext>
                <a:ext uri="{FF2B5EF4-FFF2-40B4-BE49-F238E27FC236}">
                  <a16:creationId xmlns:a16="http://schemas.microsoft.com/office/drawing/2014/main" id="{00000000-0008-0000-1E00-0000FF2D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7</xdr:col>
          <xdr:colOff>0</xdr:colOff>
          <xdr:row>227</xdr:row>
          <xdr:rowOff>0</xdr:rowOff>
        </xdr:to>
        <xdr:sp macro="" textlink="">
          <xdr:nvSpPr>
            <xdr:cNvPr id="470528" name="bpmDropDownFLU1372" hidden="1">
              <a:extLst>
                <a:ext uri="{63B3BB69-23CF-44E3-9099-C40C66FF867C}">
                  <a14:compatExt spid="_x0000_s470528"/>
                </a:ext>
                <a:ext uri="{FF2B5EF4-FFF2-40B4-BE49-F238E27FC236}">
                  <a16:creationId xmlns:a16="http://schemas.microsoft.com/office/drawing/2014/main" id="{00000000-0008-0000-1E00-000000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227</xdr:row>
          <xdr:rowOff>0</xdr:rowOff>
        </xdr:from>
        <xdr:to>
          <xdr:col>7</xdr:col>
          <xdr:colOff>0</xdr:colOff>
          <xdr:row>228</xdr:row>
          <xdr:rowOff>0</xdr:rowOff>
        </xdr:to>
        <xdr:sp macro="" textlink="">
          <xdr:nvSpPr>
            <xdr:cNvPr id="470530" name="bpmDropDownFLU1374" hidden="1">
              <a:extLst>
                <a:ext uri="{63B3BB69-23CF-44E3-9099-C40C66FF867C}">
                  <a14:compatExt spid="_x0000_s470530"/>
                </a:ext>
                <a:ext uri="{FF2B5EF4-FFF2-40B4-BE49-F238E27FC236}">
                  <a16:creationId xmlns:a16="http://schemas.microsoft.com/office/drawing/2014/main" id="{00000000-0008-0000-1E00-000002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228</xdr:row>
          <xdr:rowOff>0</xdr:rowOff>
        </xdr:from>
        <xdr:to>
          <xdr:col>7</xdr:col>
          <xdr:colOff>0</xdr:colOff>
          <xdr:row>229</xdr:row>
          <xdr:rowOff>0</xdr:rowOff>
        </xdr:to>
        <xdr:sp macro="" textlink="">
          <xdr:nvSpPr>
            <xdr:cNvPr id="470531" name="bpmDropDownFLU1375" hidden="1">
              <a:extLst>
                <a:ext uri="{63B3BB69-23CF-44E3-9099-C40C66FF867C}">
                  <a14:compatExt spid="_x0000_s470531"/>
                </a:ext>
                <a:ext uri="{FF2B5EF4-FFF2-40B4-BE49-F238E27FC236}">
                  <a16:creationId xmlns:a16="http://schemas.microsoft.com/office/drawing/2014/main" id="{00000000-0008-0000-1E00-000003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7</xdr:col>
          <xdr:colOff>0</xdr:colOff>
          <xdr:row>230</xdr:row>
          <xdr:rowOff>0</xdr:rowOff>
        </xdr:to>
        <xdr:sp macro="" textlink="">
          <xdr:nvSpPr>
            <xdr:cNvPr id="470532" name="bpmDropDownFLU1376" hidden="1">
              <a:extLst>
                <a:ext uri="{63B3BB69-23CF-44E3-9099-C40C66FF867C}">
                  <a14:compatExt spid="_x0000_s470532"/>
                </a:ext>
                <a:ext uri="{FF2B5EF4-FFF2-40B4-BE49-F238E27FC236}">
                  <a16:creationId xmlns:a16="http://schemas.microsoft.com/office/drawing/2014/main" id="{00000000-0008-0000-1E00-000004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230</xdr:row>
          <xdr:rowOff>0</xdr:rowOff>
        </xdr:from>
        <xdr:to>
          <xdr:col>7</xdr:col>
          <xdr:colOff>0</xdr:colOff>
          <xdr:row>231</xdr:row>
          <xdr:rowOff>0</xdr:rowOff>
        </xdr:to>
        <xdr:sp macro="" textlink="">
          <xdr:nvSpPr>
            <xdr:cNvPr id="470533" name="bpmDropDownFLU1377" hidden="1">
              <a:extLst>
                <a:ext uri="{63B3BB69-23CF-44E3-9099-C40C66FF867C}">
                  <a14:compatExt spid="_x0000_s470533"/>
                </a:ext>
                <a:ext uri="{FF2B5EF4-FFF2-40B4-BE49-F238E27FC236}">
                  <a16:creationId xmlns:a16="http://schemas.microsoft.com/office/drawing/2014/main" id="{00000000-0008-0000-1E00-000005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231</xdr:row>
          <xdr:rowOff>0</xdr:rowOff>
        </xdr:from>
        <xdr:to>
          <xdr:col>7</xdr:col>
          <xdr:colOff>0</xdr:colOff>
          <xdr:row>232</xdr:row>
          <xdr:rowOff>0</xdr:rowOff>
        </xdr:to>
        <xdr:sp macro="" textlink="">
          <xdr:nvSpPr>
            <xdr:cNvPr id="470534" name="bpmDropDownFLU1378" hidden="1">
              <a:extLst>
                <a:ext uri="{63B3BB69-23CF-44E3-9099-C40C66FF867C}">
                  <a14:compatExt spid="_x0000_s470534"/>
                </a:ext>
                <a:ext uri="{FF2B5EF4-FFF2-40B4-BE49-F238E27FC236}">
                  <a16:creationId xmlns:a16="http://schemas.microsoft.com/office/drawing/2014/main" id="{00000000-0008-0000-1E00-000006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7</xdr:col>
          <xdr:colOff>0</xdr:colOff>
          <xdr:row>233</xdr:row>
          <xdr:rowOff>0</xdr:rowOff>
        </xdr:to>
        <xdr:sp macro="" textlink="">
          <xdr:nvSpPr>
            <xdr:cNvPr id="470535" name="bpmDropDownFLU1379" hidden="1">
              <a:extLst>
                <a:ext uri="{63B3BB69-23CF-44E3-9099-C40C66FF867C}">
                  <a14:compatExt spid="_x0000_s470535"/>
                </a:ext>
                <a:ext uri="{FF2B5EF4-FFF2-40B4-BE49-F238E27FC236}">
                  <a16:creationId xmlns:a16="http://schemas.microsoft.com/office/drawing/2014/main" id="{00000000-0008-0000-1E00-000007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233</xdr:row>
          <xdr:rowOff>0</xdr:rowOff>
        </xdr:from>
        <xdr:to>
          <xdr:col>7</xdr:col>
          <xdr:colOff>0</xdr:colOff>
          <xdr:row>234</xdr:row>
          <xdr:rowOff>0</xdr:rowOff>
        </xdr:to>
        <xdr:sp macro="" textlink="">
          <xdr:nvSpPr>
            <xdr:cNvPr id="470536" name="bpmDropDownFLU1380" hidden="1">
              <a:extLst>
                <a:ext uri="{63B3BB69-23CF-44E3-9099-C40C66FF867C}">
                  <a14:compatExt spid="_x0000_s470536"/>
                </a:ext>
                <a:ext uri="{FF2B5EF4-FFF2-40B4-BE49-F238E27FC236}">
                  <a16:creationId xmlns:a16="http://schemas.microsoft.com/office/drawing/2014/main" id="{00000000-0008-0000-1E00-000008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7</xdr:col>
          <xdr:colOff>0</xdr:colOff>
          <xdr:row>239</xdr:row>
          <xdr:rowOff>0</xdr:rowOff>
        </xdr:to>
        <xdr:sp macro="" textlink="">
          <xdr:nvSpPr>
            <xdr:cNvPr id="470537" name="bpmDropDownFLU1381" hidden="1">
              <a:extLst>
                <a:ext uri="{63B3BB69-23CF-44E3-9099-C40C66FF867C}">
                  <a14:compatExt spid="_x0000_s470537"/>
                </a:ext>
                <a:ext uri="{FF2B5EF4-FFF2-40B4-BE49-F238E27FC236}">
                  <a16:creationId xmlns:a16="http://schemas.microsoft.com/office/drawing/2014/main" id="{00000000-0008-0000-1E00-000009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239</xdr:row>
          <xdr:rowOff>0</xdr:rowOff>
        </xdr:from>
        <xdr:to>
          <xdr:col>7</xdr:col>
          <xdr:colOff>0</xdr:colOff>
          <xdr:row>240</xdr:row>
          <xdr:rowOff>0</xdr:rowOff>
        </xdr:to>
        <xdr:sp macro="" textlink="">
          <xdr:nvSpPr>
            <xdr:cNvPr id="470538" name="bpmDropDownFLU1382" hidden="1">
              <a:extLst>
                <a:ext uri="{63B3BB69-23CF-44E3-9099-C40C66FF867C}">
                  <a14:compatExt spid="_x0000_s470538"/>
                </a:ext>
                <a:ext uri="{FF2B5EF4-FFF2-40B4-BE49-F238E27FC236}">
                  <a16:creationId xmlns:a16="http://schemas.microsoft.com/office/drawing/2014/main" id="{00000000-0008-0000-1E00-00000A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240</xdr:row>
          <xdr:rowOff>0</xdr:rowOff>
        </xdr:from>
        <xdr:to>
          <xdr:col>7</xdr:col>
          <xdr:colOff>0</xdr:colOff>
          <xdr:row>241</xdr:row>
          <xdr:rowOff>0</xdr:rowOff>
        </xdr:to>
        <xdr:sp macro="" textlink="">
          <xdr:nvSpPr>
            <xdr:cNvPr id="470539" name="bpmDropDownFLU1383" hidden="1">
              <a:extLst>
                <a:ext uri="{63B3BB69-23CF-44E3-9099-C40C66FF867C}">
                  <a14:compatExt spid="_x0000_s470539"/>
                </a:ext>
                <a:ext uri="{FF2B5EF4-FFF2-40B4-BE49-F238E27FC236}">
                  <a16:creationId xmlns:a16="http://schemas.microsoft.com/office/drawing/2014/main" id="{00000000-0008-0000-1E00-00000B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7</xdr:col>
          <xdr:colOff>0</xdr:colOff>
          <xdr:row>242</xdr:row>
          <xdr:rowOff>0</xdr:rowOff>
        </xdr:to>
        <xdr:sp macro="" textlink="">
          <xdr:nvSpPr>
            <xdr:cNvPr id="470540" name="bpmDropDownFLU1384" hidden="1">
              <a:extLst>
                <a:ext uri="{63B3BB69-23CF-44E3-9099-C40C66FF867C}">
                  <a14:compatExt spid="_x0000_s470540"/>
                </a:ext>
                <a:ext uri="{FF2B5EF4-FFF2-40B4-BE49-F238E27FC236}">
                  <a16:creationId xmlns:a16="http://schemas.microsoft.com/office/drawing/2014/main" id="{00000000-0008-0000-1E00-00000C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0</xdr:rowOff>
        </xdr:from>
        <xdr:to>
          <xdr:col>7</xdr:col>
          <xdr:colOff>0</xdr:colOff>
          <xdr:row>243</xdr:row>
          <xdr:rowOff>0</xdr:rowOff>
        </xdr:to>
        <xdr:sp macro="" textlink="">
          <xdr:nvSpPr>
            <xdr:cNvPr id="470541" name="bpmDropDownFLU1385" hidden="1">
              <a:extLst>
                <a:ext uri="{63B3BB69-23CF-44E3-9099-C40C66FF867C}">
                  <a14:compatExt spid="_x0000_s470541"/>
                </a:ext>
                <a:ext uri="{FF2B5EF4-FFF2-40B4-BE49-F238E27FC236}">
                  <a16:creationId xmlns:a16="http://schemas.microsoft.com/office/drawing/2014/main" id="{00000000-0008-0000-1E00-00000D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0</xdr:rowOff>
        </xdr:from>
        <xdr:to>
          <xdr:col>7</xdr:col>
          <xdr:colOff>0</xdr:colOff>
          <xdr:row>244</xdr:row>
          <xdr:rowOff>0</xdr:rowOff>
        </xdr:to>
        <xdr:sp macro="" textlink="">
          <xdr:nvSpPr>
            <xdr:cNvPr id="470542" name="bpmDropDownFLU1386" hidden="1">
              <a:extLst>
                <a:ext uri="{63B3BB69-23CF-44E3-9099-C40C66FF867C}">
                  <a14:compatExt spid="_x0000_s470542"/>
                </a:ext>
                <a:ext uri="{FF2B5EF4-FFF2-40B4-BE49-F238E27FC236}">
                  <a16:creationId xmlns:a16="http://schemas.microsoft.com/office/drawing/2014/main" id="{00000000-0008-0000-1E00-00000E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7</xdr:col>
          <xdr:colOff>0</xdr:colOff>
          <xdr:row>245</xdr:row>
          <xdr:rowOff>0</xdr:rowOff>
        </xdr:to>
        <xdr:sp macro="" textlink="">
          <xdr:nvSpPr>
            <xdr:cNvPr id="470543" name="bpmDropDownFLU1387" hidden="1">
              <a:extLst>
                <a:ext uri="{63B3BB69-23CF-44E3-9099-C40C66FF867C}">
                  <a14:compatExt spid="_x0000_s470543"/>
                </a:ext>
                <a:ext uri="{FF2B5EF4-FFF2-40B4-BE49-F238E27FC236}">
                  <a16:creationId xmlns:a16="http://schemas.microsoft.com/office/drawing/2014/main" id="{00000000-0008-0000-1E00-00000F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245</xdr:row>
          <xdr:rowOff>0</xdr:rowOff>
        </xdr:from>
        <xdr:to>
          <xdr:col>7</xdr:col>
          <xdr:colOff>0</xdr:colOff>
          <xdr:row>246</xdr:row>
          <xdr:rowOff>0</xdr:rowOff>
        </xdr:to>
        <xdr:sp macro="" textlink="">
          <xdr:nvSpPr>
            <xdr:cNvPr id="470544" name="bpmDropDownFLU1388" hidden="1">
              <a:extLst>
                <a:ext uri="{63B3BB69-23CF-44E3-9099-C40C66FF867C}">
                  <a14:compatExt spid="_x0000_s470544"/>
                </a:ext>
                <a:ext uri="{FF2B5EF4-FFF2-40B4-BE49-F238E27FC236}">
                  <a16:creationId xmlns:a16="http://schemas.microsoft.com/office/drawing/2014/main" id="{00000000-0008-0000-1E00-000010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xdr:row>
          <xdr:rowOff>0</xdr:rowOff>
        </xdr:from>
        <xdr:to>
          <xdr:col>7</xdr:col>
          <xdr:colOff>0</xdr:colOff>
          <xdr:row>247</xdr:row>
          <xdr:rowOff>0</xdr:rowOff>
        </xdr:to>
        <xdr:sp macro="" textlink="">
          <xdr:nvSpPr>
            <xdr:cNvPr id="470546" name="bpmDropDownFLU1390" hidden="1">
              <a:extLst>
                <a:ext uri="{63B3BB69-23CF-44E3-9099-C40C66FF867C}">
                  <a14:compatExt spid="_x0000_s470546"/>
                </a:ext>
                <a:ext uri="{FF2B5EF4-FFF2-40B4-BE49-F238E27FC236}">
                  <a16:creationId xmlns:a16="http://schemas.microsoft.com/office/drawing/2014/main" id="{00000000-0008-0000-1E00-000012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7</xdr:col>
          <xdr:colOff>0</xdr:colOff>
          <xdr:row>248</xdr:row>
          <xdr:rowOff>0</xdr:rowOff>
        </xdr:to>
        <xdr:sp macro="" textlink="">
          <xdr:nvSpPr>
            <xdr:cNvPr id="470547" name="bpmDropDownFLU1391" hidden="1">
              <a:extLst>
                <a:ext uri="{63B3BB69-23CF-44E3-9099-C40C66FF867C}">
                  <a14:compatExt spid="_x0000_s470547"/>
                </a:ext>
                <a:ext uri="{FF2B5EF4-FFF2-40B4-BE49-F238E27FC236}">
                  <a16:creationId xmlns:a16="http://schemas.microsoft.com/office/drawing/2014/main" id="{00000000-0008-0000-1E00-000013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248</xdr:row>
          <xdr:rowOff>0</xdr:rowOff>
        </xdr:from>
        <xdr:to>
          <xdr:col>7</xdr:col>
          <xdr:colOff>0</xdr:colOff>
          <xdr:row>249</xdr:row>
          <xdr:rowOff>0</xdr:rowOff>
        </xdr:to>
        <xdr:sp macro="" textlink="">
          <xdr:nvSpPr>
            <xdr:cNvPr id="470548" name="bpmDropDownFLU1392" hidden="1">
              <a:extLst>
                <a:ext uri="{63B3BB69-23CF-44E3-9099-C40C66FF867C}">
                  <a14:compatExt spid="_x0000_s470548"/>
                </a:ext>
                <a:ext uri="{FF2B5EF4-FFF2-40B4-BE49-F238E27FC236}">
                  <a16:creationId xmlns:a16="http://schemas.microsoft.com/office/drawing/2014/main" id="{00000000-0008-0000-1E00-000014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249</xdr:row>
          <xdr:rowOff>0</xdr:rowOff>
        </xdr:from>
        <xdr:to>
          <xdr:col>7</xdr:col>
          <xdr:colOff>0</xdr:colOff>
          <xdr:row>250</xdr:row>
          <xdr:rowOff>0</xdr:rowOff>
        </xdr:to>
        <xdr:sp macro="" textlink="">
          <xdr:nvSpPr>
            <xdr:cNvPr id="470549" name="bpmDropDownFLU1393" hidden="1">
              <a:extLst>
                <a:ext uri="{63B3BB69-23CF-44E3-9099-C40C66FF867C}">
                  <a14:compatExt spid="_x0000_s470549"/>
                </a:ext>
                <a:ext uri="{FF2B5EF4-FFF2-40B4-BE49-F238E27FC236}">
                  <a16:creationId xmlns:a16="http://schemas.microsoft.com/office/drawing/2014/main" id="{00000000-0008-0000-1E00-000015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7</xdr:col>
          <xdr:colOff>0</xdr:colOff>
          <xdr:row>251</xdr:row>
          <xdr:rowOff>0</xdr:rowOff>
        </xdr:to>
        <xdr:sp macro="" textlink="">
          <xdr:nvSpPr>
            <xdr:cNvPr id="470550" name="bpmDropDownFLU1394" hidden="1">
              <a:extLst>
                <a:ext uri="{63B3BB69-23CF-44E3-9099-C40C66FF867C}">
                  <a14:compatExt spid="_x0000_s470550"/>
                </a:ext>
                <a:ext uri="{FF2B5EF4-FFF2-40B4-BE49-F238E27FC236}">
                  <a16:creationId xmlns:a16="http://schemas.microsoft.com/office/drawing/2014/main" id="{00000000-0008-0000-1E00-000016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251</xdr:row>
          <xdr:rowOff>0</xdr:rowOff>
        </xdr:from>
        <xdr:to>
          <xdr:col>7</xdr:col>
          <xdr:colOff>0</xdr:colOff>
          <xdr:row>252</xdr:row>
          <xdr:rowOff>0</xdr:rowOff>
        </xdr:to>
        <xdr:sp macro="" textlink="">
          <xdr:nvSpPr>
            <xdr:cNvPr id="470551" name="bpmDropDownFLU1395" hidden="1">
              <a:extLst>
                <a:ext uri="{63B3BB69-23CF-44E3-9099-C40C66FF867C}">
                  <a14:compatExt spid="_x0000_s470551"/>
                </a:ext>
                <a:ext uri="{FF2B5EF4-FFF2-40B4-BE49-F238E27FC236}">
                  <a16:creationId xmlns:a16="http://schemas.microsoft.com/office/drawing/2014/main" id="{00000000-0008-0000-1E00-000017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252</xdr:row>
          <xdr:rowOff>0</xdr:rowOff>
        </xdr:from>
        <xdr:to>
          <xdr:col>7</xdr:col>
          <xdr:colOff>0</xdr:colOff>
          <xdr:row>253</xdr:row>
          <xdr:rowOff>0</xdr:rowOff>
        </xdr:to>
        <xdr:sp macro="" textlink="">
          <xdr:nvSpPr>
            <xdr:cNvPr id="470552" name="bpmDropDownFLU1396" hidden="1">
              <a:extLst>
                <a:ext uri="{63B3BB69-23CF-44E3-9099-C40C66FF867C}">
                  <a14:compatExt spid="_x0000_s470552"/>
                </a:ext>
                <a:ext uri="{FF2B5EF4-FFF2-40B4-BE49-F238E27FC236}">
                  <a16:creationId xmlns:a16="http://schemas.microsoft.com/office/drawing/2014/main" id="{00000000-0008-0000-1E00-0000182E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7</xdr:col>
          <xdr:colOff>0</xdr:colOff>
          <xdr:row>34</xdr:row>
          <xdr:rowOff>0</xdr:rowOff>
        </xdr:to>
        <xdr:sp macro="" textlink="">
          <xdr:nvSpPr>
            <xdr:cNvPr id="471051" name="bpmDropDownFLU736" hidden="1">
              <a:extLst>
                <a:ext uri="{63B3BB69-23CF-44E3-9099-C40C66FF867C}">
                  <a14:compatExt spid="_x0000_s471051"/>
                </a:ext>
                <a:ext uri="{FF2B5EF4-FFF2-40B4-BE49-F238E27FC236}">
                  <a16:creationId xmlns:a16="http://schemas.microsoft.com/office/drawing/2014/main" id="{00000000-0008-0000-1F00-00000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7</xdr:col>
          <xdr:colOff>0</xdr:colOff>
          <xdr:row>35</xdr:row>
          <xdr:rowOff>0</xdr:rowOff>
        </xdr:to>
        <xdr:sp macro="" textlink="">
          <xdr:nvSpPr>
            <xdr:cNvPr id="471052" name="bpmDropDownFLU737" hidden="1">
              <a:extLst>
                <a:ext uri="{63B3BB69-23CF-44E3-9099-C40C66FF867C}">
                  <a14:compatExt spid="_x0000_s471052"/>
                </a:ext>
                <a:ext uri="{FF2B5EF4-FFF2-40B4-BE49-F238E27FC236}">
                  <a16:creationId xmlns:a16="http://schemas.microsoft.com/office/drawing/2014/main" id="{00000000-0008-0000-1F00-00000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7</xdr:col>
          <xdr:colOff>0</xdr:colOff>
          <xdr:row>36</xdr:row>
          <xdr:rowOff>0</xdr:rowOff>
        </xdr:to>
        <xdr:sp macro="" textlink="">
          <xdr:nvSpPr>
            <xdr:cNvPr id="471053" name="bpmDropDownFLU738" hidden="1">
              <a:extLst>
                <a:ext uri="{63B3BB69-23CF-44E3-9099-C40C66FF867C}">
                  <a14:compatExt spid="_x0000_s471053"/>
                </a:ext>
                <a:ext uri="{FF2B5EF4-FFF2-40B4-BE49-F238E27FC236}">
                  <a16:creationId xmlns:a16="http://schemas.microsoft.com/office/drawing/2014/main" id="{00000000-0008-0000-1F00-00000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7</xdr:col>
          <xdr:colOff>0</xdr:colOff>
          <xdr:row>37</xdr:row>
          <xdr:rowOff>0</xdr:rowOff>
        </xdr:to>
        <xdr:sp macro="" textlink="">
          <xdr:nvSpPr>
            <xdr:cNvPr id="471054" name="bpmDropDownFLU739" hidden="1">
              <a:extLst>
                <a:ext uri="{63B3BB69-23CF-44E3-9099-C40C66FF867C}">
                  <a14:compatExt spid="_x0000_s471054"/>
                </a:ext>
                <a:ext uri="{FF2B5EF4-FFF2-40B4-BE49-F238E27FC236}">
                  <a16:creationId xmlns:a16="http://schemas.microsoft.com/office/drawing/2014/main" id="{00000000-0008-0000-1F00-00000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7</xdr:col>
          <xdr:colOff>0</xdr:colOff>
          <xdr:row>38</xdr:row>
          <xdr:rowOff>0</xdr:rowOff>
        </xdr:to>
        <xdr:sp macro="" textlink="">
          <xdr:nvSpPr>
            <xdr:cNvPr id="471055" name="bpmDropDownFLU740" hidden="1">
              <a:extLst>
                <a:ext uri="{63B3BB69-23CF-44E3-9099-C40C66FF867C}">
                  <a14:compatExt spid="_x0000_s471055"/>
                </a:ext>
                <a:ext uri="{FF2B5EF4-FFF2-40B4-BE49-F238E27FC236}">
                  <a16:creationId xmlns:a16="http://schemas.microsoft.com/office/drawing/2014/main" id="{00000000-0008-0000-1F00-00000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7</xdr:col>
          <xdr:colOff>0</xdr:colOff>
          <xdr:row>48</xdr:row>
          <xdr:rowOff>0</xdr:rowOff>
        </xdr:to>
        <xdr:sp macro="" textlink="">
          <xdr:nvSpPr>
            <xdr:cNvPr id="471056" name="bpmDropDownFLU741" hidden="1">
              <a:extLst>
                <a:ext uri="{63B3BB69-23CF-44E3-9099-C40C66FF867C}">
                  <a14:compatExt spid="_x0000_s471056"/>
                </a:ext>
                <a:ext uri="{FF2B5EF4-FFF2-40B4-BE49-F238E27FC236}">
                  <a16:creationId xmlns:a16="http://schemas.microsoft.com/office/drawing/2014/main" id="{00000000-0008-0000-1F00-00001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7</xdr:col>
          <xdr:colOff>0</xdr:colOff>
          <xdr:row>49</xdr:row>
          <xdr:rowOff>0</xdr:rowOff>
        </xdr:to>
        <xdr:sp macro="" textlink="">
          <xdr:nvSpPr>
            <xdr:cNvPr id="471057" name="bpmDropDownFLU742" hidden="1">
              <a:extLst>
                <a:ext uri="{63B3BB69-23CF-44E3-9099-C40C66FF867C}">
                  <a14:compatExt spid="_x0000_s471057"/>
                </a:ext>
                <a:ext uri="{FF2B5EF4-FFF2-40B4-BE49-F238E27FC236}">
                  <a16:creationId xmlns:a16="http://schemas.microsoft.com/office/drawing/2014/main" id="{00000000-0008-0000-1F00-00001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7</xdr:col>
          <xdr:colOff>0</xdr:colOff>
          <xdr:row>50</xdr:row>
          <xdr:rowOff>0</xdr:rowOff>
        </xdr:to>
        <xdr:sp macro="" textlink="">
          <xdr:nvSpPr>
            <xdr:cNvPr id="471058" name="bpmDropDownFLU743" hidden="1">
              <a:extLst>
                <a:ext uri="{63B3BB69-23CF-44E3-9099-C40C66FF867C}">
                  <a14:compatExt spid="_x0000_s471058"/>
                </a:ext>
                <a:ext uri="{FF2B5EF4-FFF2-40B4-BE49-F238E27FC236}">
                  <a16:creationId xmlns:a16="http://schemas.microsoft.com/office/drawing/2014/main" id="{00000000-0008-0000-1F00-00001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7</xdr:col>
          <xdr:colOff>0</xdr:colOff>
          <xdr:row>51</xdr:row>
          <xdr:rowOff>0</xdr:rowOff>
        </xdr:to>
        <xdr:sp macro="" textlink="">
          <xdr:nvSpPr>
            <xdr:cNvPr id="471059" name="bpmDropDownFLU744" hidden="1">
              <a:extLst>
                <a:ext uri="{63B3BB69-23CF-44E3-9099-C40C66FF867C}">
                  <a14:compatExt spid="_x0000_s471059"/>
                </a:ext>
                <a:ext uri="{FF2B5EF4-FFF2-40B4-BE49-F238E27FC236}">
                  <a16:creationId xmlns:a16="http://schemas.microsoft.com/office/drawing/2014/main" id="{00000000-0008-0000-1F00-00001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7</xdr:col>
          <xdr:colOff>0</xdr:colOff>
          <xdr:row>52</xdr:row>
          <xdr:rowOff>0</xdr:rowOff>
        </xdr:to>
        <xdr:sp macro="" textlink="">
          <xdr:nvSpPr>
            <xdr:cNvPr id="471060" name="bpmDropDownFLU745" hidden="1">
              <a:extLst>
                <a:ext uri="{63B3BB69-23CF-44E3-9099-C40C66FF867C}">
                  <a14:compatExt spid="_x0000_s471060"/>
                </a:ext>
                <a:ext uri="{FF2B5EF4-FFF2-40B4-BE49-F238E27FC236}">
                  <a16:creationId xmlns:a16="http://schemas.microsoft.com/office/drawing/2014/main" id="{00000000-0008-0000-1F00-00001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7</xdr:col>
          <xdr:colOff>0</xdr:colOff>
          <xdr:row>53</xdr:row>
          <xdr:rowOff>0</xdr:rowOff>
        </xdr:to>
        <xdr:sp macro="" textlink="">
          <xdr:nvSpPr>
            <xdr:cNvPr id="471061" name="bpmDropDownFLU746" hidden="1">
              <a:extLst>
                <a:ext uri="{63B3BB69-23CF-44E3-9099-C40C66FF867C}">
                  <a14:compatExt spid="_x0000_s471061"/>
                </a:ext>
                <a:ext uri="{FF2B5EF4-FFF2-40B4-BE49-F238E27FC236}">
                  <a16:creationId xmlns:a16="http://schemas.microsoft.com/office/drawing/2014/main" id="{00000000-0008-0000-1F00-00001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7</xdr:col>
          <xdr:colOff>0</xdr:colOff>
          <xdr:row>54</xdr:row>
          <xdr:rowOff>0</xdr:rowOff>
        </xdr:to>
        <xdr:sp macro="" textlink="">
          <xdr:nvSpPr>
            <xdr:cNvPr id="471062" name="bpmDropDownFLU747" hidden="1">
              <a:extLst>
                <a:ext uri="{63B3BB69-23CF-44E3-9099-C40C66FF867C}">
                  <a14:compatExt spid="_x0000_s471062"/>
                </a:ext>
                <a:ext uri="{FF2B5EF4-FFF2-40B4-BE49-F238E27FC236}">
                  <a16:creationId xmlns:a16="http://schemas.microsoft.com/office/drawing/2014/main" id="{00000000-0008-0000-1F00-00001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7</xdr:col>
          <xdr:colOff>0</xdr:colOff>
          <xdr:row>55</xdr:row>
          <xdr:rowOff>0</xdr:rowOff>
        </xdr:to>
        <xdr:sp macro="" textlink="">
          <xdr:nvSpPr>
            <xdr:cNvPr id="471063" name="bpmDropDownFLU748" hidden="1">
              <a:extLst>
                <a:ext uri="{63B3BB69-23CF-44E3-9099-C40C66FF867C}">
                  <a14:compatExt spid="_x0000_s471063"/>
                </a:ext>
                <a:ext uri="{FF2B5EF4-FFF2-40B4-BE49-F238E27FC236}">
                  <a16:creationId xmlns:a16="http://schemas.microsoft.com/office/drawing/2014/main" id="{00000000-0008-0000-1F00-00001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7</xdr:col>
          <xdr:colOff>0</xdr:colOff>
          <xdr:row>56</xdr:row>
          <xdr:rowOff>0</xdr:rowOff>
        </xdr:to>
        <xdr:sp macro="" textlink="">
          <xdr:nvSpPr>
            <xdr:cNvPr id="471064" name="bpmDropDownFLU749" hidden="1">
              <a:extLst>
                <a:ext uri="{63B3BB69-23CF-44E3-9099-C40C66FF867C}">
                  <a14:compatExt spid="_x0000_s471064"/>
                </a:ext>
                <a:ext uri="{FF2B5EF4-FFF2-40B4-BE49-F238E27FC236}">
                  <a16:creationId xmlns:a16="http://schemas.microsoft.com/office/drawing/2014/main" id="{00000000-0008-0000-1F00-00001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7</xdr:col>
          <xdr:colOff>0</xdr:colOff>
          <xdr:row>61</xdr:row>
          <xdr:rowOff>0</xdr:rowOff>
        </xdr:to>
        <xdr:sp macro="" textlink="">
          <xdr:nvSpPr>
            <xdr:cNvPr id="471065" name="bpmDropDownFLU750" hidden="1">
              <a:extLst>
                <a:ext uri="{63B3BB69-23CF-44E3-9099-C40C66FF867C}">
                  <a14:compatExt spid="_x0000_s471065"/>
                </a:ext>
                <a:ext uri="{FF2B5EF4-FFF2-40B4-BE49-F238E27FC236}">
                  <a16:creationId xmlns:a16="http://schemas.microsoft.com/office/drawing/2014/main" id="{00000000-0008-0000-1F00-00001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7</xdr:col>
          <xdr:colOff>0</xdr:colOff>
          <xdr:row>62</xdr:row>
          <xdr:rowOff>0</xdr:rowOff>
        </xdr:to>
        <xdr:sp macro="" textlink="">
          <xdr:nvSpPr>
            <xdr:cNvPr id="471066" name="bpmDropDownFLU751" hidden="1">
              <a:extLst>
                <a:ext uri="{63B3BB69-23CF-44E3-9099-C40C66FF867C}">
                  <a14:compatExt spid="_x0000_s471066"/>
                </a:ext>
                <a:ext uri="{FF2B5EF4-FFF2-40B4-BE49-F238E27FC236}">
                  <a16:creationId xmlns:a16="http://schemas.microsoft.com/office/drawing/2014/main" id="{00000000-0008-0000-1F00-00001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7</xdr:col>
          <xdr:colOff>0</xdr:colOff>
          <xdr:row>63</xdr:row>
          <xdr:rowOff>0</xdr:rowOff>
        </xdr:to>
        <xdr:sp macro="" textlink="">
          <xdr:nvSpPr>
            <xdr:cNvPr id="471067" name="bpmDropDownFLU752" hidden="1">
              <a:extLst>
                <a:ext uri="{63B3BB69-23CF-44E3-9099-C40C66FF867C}">
                  <a14:compatExt spid="_x0000_s471067"/>
                </a:ext>
                <a:ext uri="{FF2B5EF4-FFF2-40B4-BE49-F238E27FC236}">
                  <a16:creationId xmlns:a16="http://schemas.microsoft.com/office/drawing/2014/main" id="{00000000-0008-0000-1F00-00001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7</xdr:col>
          <xdr:colOff>0</xdr:colOff>
          <xdr:row>64</xdr:row>
          <xdr:rowOff>0</xdr:rowOff>
        </xdr:to>
        <xdr:sp macro="" textlink="">
          <xdr:nvSpPr>
            <xdr:cNvPr id="471068" name="bpmDropDownFLU753" hidden="1">
              <a:extLst>
                <a:ext uri="{63B3BB69-23CF-44E3-9099-C40C66FF867C}">
                  <a14:compatExt spid="_x0000_s471068"/>
                </a:ext>
                <a:ext uri="{FF2B5EF4-FFF2-40B4-BE49-F238E27FC236}">
                  <a16:creationId xmlns:a16="http://schemas.microsoft.com/office/drawing/2014/main" id="{00000000-0008-0000-1F00-00001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7</xdr:col>
          <xdr:colOff>0</xdr:colOff>
          <xdr:row>65</xdr:row>
          <xdr:rowOff>0</xdr:rowOff>
        </xdr:to>
        <xdr:sp macro="" textlink="">
          <xdr:nvSpPr>
            <xdr:cNvPr id="471069" name="bpmDropDownFLU754" hidden="1">
              <a:extLst>
                <a:ext uri="{63B3BB69-23CF-44E3-9099-C40C66FF867C}">
                  <a14:compatExt spid="_x0000_s471069"/>
                </a:ext>
                <a:ext uri="{FF2B5EF4-FFF2-40B4-BE49-F238E27FC236}">
                  <a16:creationId xmlns:a16="http://schemas.microsoft.com/office/drawing/2014/main" id="{00000000-0008-0000-1F00-00001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7</xdr:col>
          <xdr:colOff>0</xdr:colOff>
          <xdr:row>66</xdr:row>
          <xdr:rowOff>0</xdr:rowOff>
        </xdr:to>
        <xdr:sp macro="" textlink="">
          <xdr:nvSpPr>
            <xdr:cNvPr id="471070" name="bpmDropDownFLU755" hidden="1">
              <a:extLst>
                <a:ext uri="{63B3BB69-23CF-44E3-9099-C40C66FF867C}">
                  <a14:compatExt spid="_x0000_s471070"/>
                </a:ext>
                <a:ext uri="{FF2B5EF4-FFF2-40B4-BE49-F238E27FC236}">
                  <a16:creationId xmlns:a16="http://schemas.microsoft.com/office/drawing/2014/main" id="{00000000-0008-0000-1F00-00001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7</xdr:col>
          <xdr:colOff>0</xdr:colOff>
          <xdr:row>67</xdr:row>
          <xdr:rowOff>0</xdr:rowOff>
        </xdr:to>
        <xdr:sp macro="" textlink="">
          <xdr:nvSpPr>
            <xdr:cNvPr id="471071" name="bpmDropDownFLU756" hidden="1">
              <a:extLst>
                <a:ext uri="{63B3BB69-23CF-44E3-9099-C40C66FF867C}">
                  <a14:compatExt spid="_x0000_s471071"/>
                </a:ext>
                <a:ext uri="{FF2B5EF4-FFF2-40B4-BE49-F238E27FC236}">
                  <a16:creationId xmlns:a16="http://schemas.microsoft.com/office/drawing/2014/main" id="{00000000-0008-0000-1F00-00001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7</xdr:col>
          <xdr:colOff>0</xdr:colOff>
          <xdr:row>68</xdr:row>
          <xdr:rowOff>0</xdr:rowOff>
        </xdr:to>
        <xdr:sp macro="" textlink="">
          <xdr:nvSpPr>
            <xdr:cNvPr id="471072" name="bpmDropDownFLU757" hidden="1">
              <a:extLst>
                <a:ext uri="{63B3BB69-23CF-44E3-9099-C40C66FF867C}">
                  <a14:compatExt spid="_x0000_s471072"/>
                </a:ext>
                <a:ext uri="{FF2B5EF4-FFF2-40B4-BE49-F238E27FC236}">
                  <a16:creationId xmlns:a16="http://schemas.microsoft.com/office/drawing/2014/main" id="{00000000-0008-0000-1F00-00002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7</xdr:col>
          <xdr:colOff>0</xdr:colOff>
          <xdr:row>69</xdr:row>
          <xdr:rowOff>0</xdr:rowOff>
        </xdr:to>
        <xdr:sp macro="" textlink="">
          <xdr:nvSpPr>
            <xdr:cNvPr id="471073" name="bpmDropDownFLU758" hidden="1">
              <a:extLst>
                <a:ext uri="{63B3BB69-23CF-44E3-9099-C40C66FF867C}">
                  <a14:compatExt spid="_x0000_s471073"/>
                </a:ext>
                <a:ext uri="{FF2B5EF4-FFF2-40B4-BE49-F238E27FC236}">
                  <a16:creationId xmlns:a16="http://schemas.microsoft.com/office/drawing/2014/main" id="{00000000-0008-0000-1F00-00002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7</xdr:col>
          <xdr:colOff>0</xdr:colOff>
          <xdr:row>39</xdr:row>
          <xdr:rowOff>0</xdr:rowOff>
        </xdr:to>
        <xdr:sp macro="" textlink="">
          <xdr:nvSpPr>
            <xdr:cNvPr id="471084" name="bpmDropDownFLU1188" hidden="1">
              <a:extLst>
                <a:ext uri="{63B3BB69-23CF-44E3-9099-C40C66FF867C}">
                  <a14:compatExt spid="_x0000_s471084"/>
                </a:ext>
                <a:ext uri="{FF2B5EF4-FFF2-40B4-BE49-F238E27FC236}">
                  <a16:creationId xmlns:a16="http://schemas.microsoft.com/office/drawing/2014/main" id="{00000000-0008-0000-1F00-00002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7</xdr:col>
          <xdr:colOff>0</xdr:colOff>
          <xdr:row>40</xdr:row>
          <xdr:rowOff>0</xdr:rowOff>
        </xdr:to>
        <xdr:sp macro="" textlink="">
          <xdr:nvSpPr>
            <xdr:cNvPr id="471085" name="bpmDropDownFLU1189" hidden="1">
              <a:extLst>
                <a:ext uri="{63B3BB69-23CF-44E3-9099-C40C66FF867C}">
                  <a14:compatExt spid="_x0000_s471085"/>
                </a:ext>
                <a:ext uri="{FF2B5EF4-FFF2-40B4-BE49-F238E27FC236}">
                  <a16:creationId xmlns:a16="http://schemas.microsoft.com/office/drawing/2014/main" id="{00000000-0008-0000-1F00-00002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7</xdr:col>
          <xdr:colOff>0</xdr:colOff>
          <xdr:row>41</xdr:row>
          <xdr:rowOff>0</xdr:rowOff>
        </xdr:to>
        <xdr:sp macro="" textlink="">
          <xdr:nvSpPr>
            <xdr:cNvPr id="471086" name="bpmDropDownFLU1190" hidden="1">
              <a:extLst>
                <a:ext uri="{63B3BB69-23CF-44E3-9099-C40C66FF867C}">
                  <a14:compatExt spid="_x0000_s471086"/>
                </a:ext>
                <a:ext uri="{FF2B5EF4-FFF2-40B4-BE49-F238E27FC236}">
                  <a16:creationId xmlns:a16="http://schemas.microsoft.com/office/drawing/2014/main" id="{00000000-0008-0000-1F00-00002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7</xdr:col>
          <xdr:colOff>0</xdr:colOff>
          <xdr:row>42</xdr:row>
          <xdr:rowOff>0</xdr:rowOff>
        </xdr:to>
        <xdr:sp macro="" textlink="">
          <xdr:nvSpPr>
            <xdr:cNvPr id="471087" name="bpmDropDownFLU1191" hidden="1">
              <a:extLst>
                <a:ext uri="{63B3BB69-23CF-44E3-9099-C40C66FF867C}">
                  <a14:compatExt spid="_x0000_s471087"/>
                </a:ext>
                <a:ext uri="{FF2B5EF4-FFF2-40B4-BE49-F238E27FC236}">
                  <a16:creationId xmlns:a16="http://schemas.microsoft.com/office/drawing/2014/main" id="{00000000-0008-0000-1F00-00002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7</xdr:col>
          <xdr:colOff>0</xdr:colOff>
          <xdr:row>43</xdr:row>
          <xdr:rowOff>0</xdr:rowOff>
        </xdr:to>
        <xdr:sp macro="" textlink="">
          <xdr:nvSpPr>
            <xdr:cNvPr id="471088" name="bpmDropDownFLU1192" hidden="1">
              <a:extLst>
                <a:ext uri="{63B3BB69-23CF-44E3-9099-C40C66FF867C}">
                  <a14:compatExt spid="_x0000_s471088"/>
                </a:ext>
                <a:ext uri="{FF2B5EF4-FFF2-40B4-BE49-F238E27FC236}">
                  <a16:creationId xmlns:a16="http://schemas.microsoft.com/office/drawing/2014/main" id="{00000000-0008-0000-1F00-00003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0</xdr:rowOff>
        </xdr:to>
        <xdr:sp macro="" textlink="">
          <xdr:nvSpPr>
            <xdr:cNvPr id="471090" name="bpmDropDownFLU544" hidden="1">
              <a:extLst>
                <a:ext uri="{63B3BB69-23CF-44E3-9099-C40C66FF867C}">
                  <a14:compatExt spid="_x0000_s471090"/>
                </a:ext>
                <a:ext uri="{FF2B5EF4-FFF2-40B4-BE49-F238E27FC236}">
                  <a16:creationId xmlns:a16="http://schemas.microsoft.com/office/drawing/2014/main" id="{00000000-0008-0000-1F00-00003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471091" name="bpmDropDownFLU552" hidden="1">
              <a:extLst>
                <a:ext uri="{63B3BB69-23CF-44E3-9099-C40C66FF867C}">
                  <a14:compatExt spid="_x0000_s471091"/>
                </a:ext>
                <a:ext uri="{FF2B5EF4-FFF2-40B4-BE49-F238E27FC236}">
                  <a16:creationId xmlns:a16="http://schemas.microsoft.com/office/drawing/2014/main" id="{00000000-0008-0000-1F00-00003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471092" name="bpmDropDownFLU553" hidden="1">
              <a:extLst>
                <a:ext uri="{63B3BB69-23CF-44E3-9099-C40C66FF867C}">
                  <a14:compatExt spid="_x0000_s471092"/>
                </a:ext>
                <a:ext uri="{FF2B5EF4-FFF2-40B4-BE49-F238E27FC236}">
                  <a16:creationId xmlns:a16="http://schemas.microsoft.com/office/drawing/2014/main" id="{00000000-0008-0000-1F00-00003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71093" name="bpmDropDownFLU554" hidden="1">
              <a:extLst>
                <a:ext uri="{63B3BB69-23CF-44E3-9099-C40C66FF867C}">
                  <a14:compatExt spid="_x0000_s471093"/>
                </a:ext>
                <a:ext uri="{FF2B5EF4-FFF2-40B4-BE49-F238E27FC236}">
                  <a16:creationId xmlns:a16="http://schemas.microsoft.com/office/drawing/2014/main" id="{00000000-0008-0000-1F00-00003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471094" name="bpmDropDownFLU555" hidden="1">
              <a:extLst>
                <a:ext uri="{63B3BB69-23CF-44E3-9099-C40C66FF867C}">
                  <a14:compatExt spid="_x0000_s471094"/>
                </a:ext>
                <a:ext uri="{FF2B5EF4-FFF2-40B4-BE49-F238E27FC236}">
                  <a16:creationId xmlns:a16="http://schemas.microsoft.com/office/drawing/2014/main" id="{00000000-0008-0000-1F00-00003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471095" name="bpmDropDownFLU556" hidden="1">
              <a:extLst>
                <a:ext uri="{63B3BB69-23CF-44E3-9099-C40C66FF867C}">
                  <a14:compatExt spid="_x0000_s471095"/>
                </a:ext>
                <a:ext uri="{FF2B5EF4-FFF2-40B4-BE49-F238E27FC236}">
                  <a16:creationId xmlns:a16="http://schemas.microsoft.com/office/drawing/2014/main" id="{00000000-0008-0000-1F00-00003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471096" name="bpmDropDownFLU557" hidden="1">
              <a:extLst>
                <a:ext uri="{63B3BB69-23CF-44E3-9099-C40C66FF867C}">
                  <a14:compatExt spid="_x0000_s471096"/>
                </a:ext>
                <a:ext uri="{FF2B5EF4-FFF2-40B4-BE49-F238E27FC236}">
                  <a16:creationId xmlns:a16="http://schemas.microsoft.com/office/drawing/2014/main" id="{00000000-0008-0000-1F00-00003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471097" name="bpmDropDownFLU558" hidden="1">
              <a:extLst>
                <a:ext uri="{63B3BB69-23CF-44E3-9099-C40C66FF867C}">
                  <a14:compatExt spid="_x0000_s471097"/>
                </a:ext>
                <a:ext uri="{FF2B5EF4-FFF2-40B4-BE49-F238E27FC236}">
                  <a16:creationId xmlns:a16="http://schemas.microsoft.com/office/drawing/2014/main" id="{00000000-0008-0000-1F00-00003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471099" name="bpmDropDownFLU560" hidden="1">
              <a:extLst>
                <a:ext uri="{63B3BB69-23CF-44E3-9099-C40C66FF867C}">
                  <a14:compatExt spid="_x0000_s471099"/>
                </a:ext>
                <a:ext uri="{FF2B5EF4-FFF2-40B4-BE49-F238E27FC236}">
                  <a16:creationId xmlns:a16="http://schemas.microsoft.com/office/drawing/2014/main" id="{00000000-0008-0000-1F00-00003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471100" name="bpmDropDownFLU561" hidden="1">
              <a:extLst>
                <a:ext uri="{63B3BB69-23CF-44E3-9099-C40C66FF867C}">
                  <a14:compatExt spid="_x0000_s471100"/>
                </a:ext>
                <a:ext uri="{FF2B5EF4-FFF2-40B4-BE49-F238E27FC236}">
                  <a16:creationId xmlns:a16="http://schemas.microsoft.com/office/drawing/2014/main" id="{00000000-0008-0000-1F00-00003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71101" name="bpmDropDownFLU562" hidden="1">
              <a:extLst>
                <a:ext uri="{63B3BB69-23CF-44E3-9099-C40C66FF867C}">
                  <a14:compatExt spid="_x0000_s471101"/>
                </a:ext>
                <a:ext uri="{FF2B5EF4-FFF2-40B4-BE49-F238E27FC236}">
                  <a16:creationId xmlns:a16="http://schemas.microsoft.com/office/drawing/2014/main" id="{00000000-0008-0000-1F00-00003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71102" name="bpmDropDownFLU563" hidden="1">
              <a:extLst>
                <a:ext uri="{63B3BB69-23CF-44E3-9099-C40C66FF867C}">
                  <a14:compatExt spid="_x0000_s471102"/>
                </a:ext>
                <a:ext uri="{FF2B5EF4-FFF2-40B4-BE49-F238E27FC236}">
                  <a16:creationId xmlns:a16="http://schemas.microsoft.com/office/drawing/2014/main" id="{00000000-0008-0000-1F00-00003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0</xdr:rowOff>
        </xdr:to>
        <xdr:sp macro="" textlink="">
          <xdr:nvSpPr>
            <xdr:cNvPr id="471103" name="bpmDropDownFLU564" hidden="1">
              <a:extLst>
                <a:ext uri="{63B3BB69-23CF-44E3-9099-C40C66FF867C}">
                  <a14:compatExt spid="_x0000_s471103"/>
                </a:ext>
                <a:ext uri="{FF2B5EF4-FFF2-40B4-BE49-F238E27FC236}">
                  <a16:creationId xmlns:a16="http://schemas.microsoft.com/office/drawing/2014/main" id="{00000000-0008-0000-1F00-00003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0</xdr:rowOff>
        </xdr:to>
        <xdr:sp macro="" textlink="">
          <xdr:nvSpPr>
            <xdr:cNvPr id="471104" name="bpmDropDownFLU565" hidden="1">
              <a:extLst>
                <a:ext uri="{63B3BB69-23CF-44E3-9099-C40C66FF867C}">
                  <a14:compatExt spid="_x0000_s471104"/>
                </a:ext>
                <a:ext uri="{FF2B5EF4-FFF2-40B4-BE49-F238E27FC236}">
                  <a16:creationId xmlns:a16="http://schemas.microsoft.com/office/drawing/2014/main" id="{00000000-0008-0000-1F00-00004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471105" name="bpmDropDownFLU566" hidden="1">
              <a:extLst>
                <a:ext uri="{63B3BB69-23CF-44E3-9099-C40C66FF867C}">
                  <a14:compatExt spid="_x0000_s471105"/>
                </a:ext>
                <a:ext uri="{FF2B5EF4-FFF2-40B4-BE49-F238E27FC236}">
                  <a16:creationId xmlns:a16="http://schemas.microsoft.com/office/drawing/2014/main" id="{00000000-0008-0000-1F00-00004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7</xdr:col>
          <xdr:colOff>0</xdr:colOff>
          <xdr:row>15</xdr:row>
          <xdr:rowOff>0</xdr:rowOff>
        </xdr:to>
        <xdr:sp macro="" textlink="">
          <xdr:nvSpPr>
            <xdr:cNvPr id="471106" name="bpmDropDownFLU567" hidden="1">
              <a:extLst>
                <a:ext uri="{63B3BB69-23CF-44E3-9099-C40C66FF867C}">
                  <a14:compatExt spid="_x0000_s471106"/>
                </a:ext>
                <a:ext uri="{FF2B5EF4-FFF2-40B4-BE49-F238E27FC236}">
                  <a16:creationId xmlns:a16="http://schemas.microsoft.com/office/drawing/2014/main" id="{00000000-0008-0000-1F00-00004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7</xdr:col>
          <xdr:colOff>0</xdr:colOff>
          <xdr:row>16</xdr:row>
          <xdr:rowOff>0</xdr:rowOff>
        </xdr:to>
        <xdr:sp macro="" textlink="">
          <xdr:nvSpPr>
            <xdr:cNvPr id="471107" name="bpmDropDownFLU568" hidden="1">
              <a:extLst>
                <a:ext uri="{63B3BB69-23CF-44E3-9099-C40C66FF867C}">
                  <a14:compatExt spid="_x0000_s471107"/>
                </a:ext>
                <a:ext uri="{FF2B5EF4-FFF2-40B4-BE49-F238E27FC236}">
                  <a16:creationId xmlns:a16="http://schemas.microsoft.com/office/drawing/2014/main" id="{00000000-0008-0000-1F00-00004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7</xdr:col>
          <xdr:colOff>0</xdr:colOff>
          <xdr:row>17</xdr:row>
          <xdr:rowOff>0</xdr:rowOff>
        </xdr:to>
        <xdr:sp macro="" textlink="">
          <xdr:nvSpPr>
            <xdr:cNvPr id="471108" name="bpmDropDownFLU569" hidden="1">
              <a:extLst>
                <a:ext uri="{63B3BB69-23CF-44E3-9099-C40C66FF867C}">
                  <a14:compatExt spid="_x0000_s471108"/>
                </a:ext>
                <a:ext uri="{FF2B5EF4-FFF2-40B4-BE49-F238E27FC236}">
                  <a16:creationId xmlns:a16="http://schemas.microsoft.com/office/drawing/2014/main" id="{00000000-0008-0000-1F00-00004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7</xdr:col>
          <xdr:colOff>0</xdr:colOff>
          <xdr:row>18</xdr:row>
          <xdr:rowOff>0</xdr:rowOff>
        </xdr:to>
        <xdr:sp macro="" textlink="">
          <xdr:nvSpPr>
            <xdr:cNvPr id="471109" name="bpmDropDownFLU570" hidden="1">
              <a:extLst>
                <a:ext uri="{63B3BB69-23CF-44E3-9099-C40C66FF867C}">
                  <a14:compatExt spid="_x0000_s471109"/>
                </a:ext>
                <a:ext uri="{FF2B5EF4-FFF2-40B4-BE49-F238E27FC236}">
                  <a16:creationId xmlns:a16="http://schemas.microsoft.com/office/drawing/2014/main" id="{00000000-0008-0000-1F00-00004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7</xdr:col>
          <xdr:colOff>0</xdr:colOff>
          <xdr:row>19</xdr:row>
          <xdr:rowOff>0</xdr:rowOff>
        </xdr:to>
        <xdr:sp macro="" textlink="">
          <xdr:nvSpPr>
            <xdr:cNvPr id="471110" name="bpmDropDownFLU606" hidden="1">
              <a:extLst>
                <a:ext uri="{63B3BB69-23CF-44E3-9099-C40C66FF867C}">
                  <a14:compatExt spid="_x0000_s471110"/>
                </a:ext>
                <a:ext uri="{FF2B5EF4-FFF2-40B4-BE49-F238E27FC236}">
                  <a16:creationId xmlns:a16="http://schemas.microsoft.com/office/drawing/2014/main" id="{00000000-0008-0000-1F00-00004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7</xdr:col>
          <xdr:colOff>0</xdr:colOff>
          <xdr:row>20</xdr:row>
          <xdr:rowOff>0</xdr:rowOff>
        </xdr:to>
        <xdr:sp macro="" textlink="">
          <xdr:nvSpPr>
            <xdr:cNvPr id="471111" name="bpmDropDownFLU607" hidden="1">
              <a:extLst>
                <a:ext uri="{63B3BB69-23CF-44E3-9099-C40C66FF867C}">
                  <a14:compatExt spid="_x0000_s471111"/>
                </a:ext>
                <a:ext uri="{FF2B5EF4-FFF2-40B4-BE49-F238E27FC236}">
                  <a16:creationId xmlns:a16="http://schemas.microsoft.com/office/drawing/2014/main" id="{00000000-0008-0000-1F00-00004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7</xdr:col>
          <xdr:colOff>0</xdr:colOff>
          <xdr:row>21</xdr:row>
          <xdr:rowOff>0</xdr:rowOff>
        </xdr:to>
        <xdr:sp macro="" textlink="">
          <xdr:nvSpPr>
            <xdr:cNvPr id="471112" name="bpmDropDownFLU608" hidden="1">
              <a:extLst>
                <a:ext uri="{63B3BB69-23CF-44E3-9099-C40C66FF867C}">
                  <a14:compatExt spid="_x0000_s471112"/>
                </a:ext>
                <a:ext uri="{FF2B5EF4-FFF2-40B4-BE49-F238E27FC236}">
                  <a16:creationId xmlns:a16="http://schemas.microsoft.com/office/drawing/2014/main" id="{00000000-0008-0000-1F00-00004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7</xdr:col>
          <xdr:colOff>0</xdr:colOff>
          <xdr:row>22</xdr:row>
          <xdr:rowOff>0</xdr:rowOff>
        </xdr:to>
        <xdr:sp macro="" textlink="">
          <xdr:nvSpPr>
            <xdr:cNvPr id="471113" name="bpmDropDownFLU609" hidden="1">
              <a:extLst>
                <a:ext uri="{63B3BB69-23CF-44E3-9099-C40C66FF867C}">
                  <a14:compatExt spid="_x0000_s471113"/>
                </a:ext>
                <a:ext uri="{FF2B5EF4-FFF2-40B4-BE49-F238E27FC236}">
                  <a16:creationId xmlns:a16="http://schemas.microsoft.com/office/drawing/2014/main" id="{00000000-0008-0000-1F00-00004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0</xdr:colOff>
          <xdr:row>23</xdr:row>
          <xdr:rowOff>0</xdr:rowOff>
        </xdr:to>
        <xdr:sp macro="" textlink="">
          <xdr:nvSpPr>
            <xdr:cNvPr id="471115" name="bpmDropDownFLU611" hidden="1">
              <a:extLst>
                <a:ext uri="{63B3BB69-23CF-44E3-9099-C40C66FF867C}">
                  <a14:compatExt spid="_x0000_s471115"/>
                </a:ext>
                <a:ext uri="{FF2B5EF4-FFF2-40B4-BE49-F238E27FC236}">
                  <a16:creationId xmlns:a16="http://schemas.microsoft.com/office/drawing/2014/main" id="{00000000-0008-0000-1F00-00004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7</xdr:col>
          <xdr:colOff>0</xdr:colOff>
          <xdr:row>24</xdr:row>
          <xdr:rowOff>0</xdr:rowOff>
        </xdr:to>
        <xdr:sp macro="" textlink="">
          <xdr:nvSpPr>
            <xdr:cNvPr id="471116" name="bpmDropDownFLU612" hidden="1">
              <a:extLst>
                <a:ext uri="{63B3BB69-23CF-44E3-9099-C40C66FF867C}">
                  <a14:compatExt spid="_x0000_s471116"/>
                </a:ext>
                <a:ext uri="{FF2B5EF4-FFF2-40B4-BE49-F238E27FC236}">
                  <a16:creationId xmlns:a16="http://schemas.microsoft.com/office/drawing/2014/main" id="{00000000-0008-0000-1F00-00004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7</xdr:col>
          <xdr:colOff>0</xdr:colOff>
          <xdr:row>25</xdr:row>
          <xdr:rowOff>0</xdr:rowOff>
        </xdr:to>
        <xdr:sp macro="" textlink="">
          <xdr:nvSpPr>
            <xdr:cNvPr id="471117" name="bpmDropDownFLU613" hidden="1">
              <a:extLst>
                <a:ext uri="{63B3BB69-23CF-44E3-9099-C40C66FF867C}">
                  <a14:compatExt spid="_x0000_s471117"/>
                </a:ext>
                <a:ext uri="{FF2B5EF4-FFF2-40B4-BE49-F238E27FC236}">
                  <a16:creationId xmlns:a16="http://schemas.microsoft.com/office/drawing/2014/main" id="{00000000-0008-0000-1F00-00004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0</xdr:colOff>
          <xdr:row>26</xdr:row>
          <xdr:rowOff>0</xdr:rowOff>
        </xdr:to>
        <xdr:sp macro="" textlink="">
          <xdr:nvSpPr>
            <xdr:cNvPr id="471118" name="bpmDropDownFLU618" hidden="1">
              <a:extLst>
                <a:ext uri="{63B3BB69-23CF-44E3-9099-C40C66FF867C}">
                  <a14:compatExt spid="_x0000_s471118"/>
                </a:ext>
                <a:ext uri="{FF2B5EF4-FFF2-40B4-BE49-F238E27FC236}">
                  <a16:creationId xmlns:a16="http://schemas.microsoft.com/office/drawing/2014/main" id="{00000000-0008-0000-1F00-00004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7</xdr:col>
          <xdr:colOff>0</xdr:colOff>
          <xdr:row>27</xdr:row>
          <xdr:rowOff>0</xdr:rowOff>
        </xdr:to>
        <xdr:sp macro="" textlink="">
          <xdr:nvSpPr>
            <xdr:cNvPr id="471119" name="bpmDropDownFLU619" hidden="1">
              <a:extLst>
                <a:ext uri="{63B3BB69-23CF-44E3-9099-C40C66FF867C}">
                  <a14:compatExt spid="_x0000_s471119"/>
                </a:ext>
                <a:ext uri="{FF2B5EF4-FFF2-40B4-BE49-F238E27FC236}">
                  <a16:creationId xmlns:a16="http://schemas.microsoft.com/office/drawing/2014/main" id="{00000000-0008-0000-1F00-00004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7</xdr:col>
          <xdr:colOff>0</xdr:colOff>
          <xdr:row>28</xdr:row>
          <xdr:rowOff>0</xdr:rowOff>
        </xdr:to>
        <xdr:sp macro="" textlink="">
          <xdr:nvSpPr>
            <xdr:cNvPr id="471120" name="bpmDropDownFLU620" hidden="1">
              <a:extLst>
                <a:ext uri="{63B3BB69-23CF-44E3-9099-C40C66FF867C}">
                  <a14:compatExt spid="_x0000_s471120"/>
                </a:ext>
                <a:ext uri="{FF2B5EF4-FFF2-40B4-BE49-F238E27FC236}">
                  <a16:creationId xmlns:a16="http://schemas.microsoft.com/office/drawing/2014/main" id="{00000000-0008-0000-1F00-00005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7</xdr:col>
          <xdr:colOff>0</xdr:colOff>
          <xdr:row>29</xdr:row>
          <xdr:rowOff>0</xdr:rowOff>
        </xdr:to>
        <xdr:sp macro="" textlink="">
          <xdr:nvSpPr>
            <xdr:cNvPr id="471121" name="bpmDropDownFLU621" hidden="1">
              <a:extLst>
                <a:ext uri="{63B3BB69-23CF-44E3-9099-C40C66FF867C}">
                  <a14:compatExt spid="_x0000_s471121"/>
                </a:ext>
                <a:ext uri="{FF2B5EF4-FFF2-40B4-BE49-F238E27FC236}">
                  <a16:creationId xmlns:a16="http://schemas.microsoft.com/office/drawing/2014/main" id="{00000000-0008-0000-1F00-00005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7</xdr:col>
          <xdr:colOff>0</xdr:colOff>
          <xdr:row>81</xdr:row>
          <xdr:rowOff>0</xdr:rowOff>
        </xdr:to>
        <xdr:sp macro="" textlink="">
          <xdr:nvSpPr>
            <xdr:cNvPr id="471122" name="bpmDropDownFLU730" hidden="1">
              <a:extLst>
                <a:ext uri="{63B3BB69-23CF-44E3-9099-C40C66FF867C}">
                  <a14:compatExt spid="_x0000_s471122"/>
                </a:ext>
                <a:ext uri="{FF2B5EF4-FFF2-40B4-BE49-F238E27FC236}">
                  <a16:creationId xmlns:a16="http://schemas.microsoft.com/office/drawing/2014/main" id="{00000000-0008-0000-1F00-00005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7</xdr:col>
          <xdr:colOff>0</xdr:colOff>
          <xdr:row>82</xdr:row>
          <xdr:rowOff>0</xdr:rowOff>
        </xdr:to>
        <xdr:sp macro="" textlink="">
          <xdr:nvSpPr>
            <xdr:cNvPr id="471123" name="bpmDropDownFLU731" hidden="1">
              <a:extLst>
                <a:ext uri="{63B3BB69-23CF-44E3-9099-C40C66FF867C}">
                  <a14:compatExt spid="_x0000_s471123"/>
                </a:ext>
                <a:ext uri="{FF2B5EF4-FFF2-40B4-BE49-F238E27FC236}">
                  <a16:creationId xmlns:a16="http://schemas.microsoft.com/office/drawing/2014/main" id="{00000000-0008-0000-1F00-00005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7</xdr:col>
          <xdr:colOff>0</xdr:colOff>
          <xdr:row>83</xdr:row>
          <xdr:rowOff>0</xdr:rowOff>
        </xdr:to>
        <xdr:sp macro="" textlink="">
          <xdr:nvSpPr>
            <xdr:cNvPr id="471124" name="bpmDropDownFLU732" hidden="1">
              <a:extLst>
                <a:ext uri="{63B3BB69-23CF-44E3-9099-C40C66FF867C}">
                  <a14:compatExt spid="_x0000_s471124"/>
                </a:ext>
                <a:ext uri="{FF2B5EF4-FFF2-40B4-BE49-F238E27FC236}">
                  <a16:creationId xmlns:a16="http://schemas.microsoft.com/office/drawing/2014/main" id="{00000000-0008-0000-1F00-00005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7</xdr:col>
          <xdr:colOff>0</xdr:colOff>
          <xdr:row>84</xdr:row>
          <xdr:rowOff>0</xdr:rowOff>
        </xdr:to>
        <xdr:sp macro="" textlink="">
          <xdr:nvSpPr>
            <xdr:cNvPr id="471125" name="bpmDropDownFLU733" hidden="1">
              <a:extLst>
                <a:ext uri="{63B3BB69-23CF-44E3-9099-C40C66FF867C}">
                  <a14:compatExt spid="_x0000_s471125"/>
                </a:ext>
                <a:ext uri="{FF2B5EF4-FFF2-40B4-BE49-F238E27FC236}">
                  <a16:creationId xmlns:a16="http://schemas.microsoft.com/office/drawing/2014/main" id="{00000000-0008-0000-1F00-00005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0</xdr:rowOff>
        </xdr:from>
        <xdr:to>
          <xdr:col>7</xdr:col>
          <xdr:colOff>0</xdr:colOff>
          <xdr:row>85</xdr:row>
          <xdr:rowOff>0</xdr:rowOff>
        </xdr:to>
        <xdr:sp macro="" textlink="">
          <xdr:nvSpPr>
            <xdr:cNvPr id="471126" name="bpmDropDownFLU734" hidden="1">
              <a:extLst>
                <a:ext uri="{63B3BB69-23CF-44E3-9099-C40C66FF867C}">
                  <a14:compatExt spid="_x0000_s471126"/>
                </a:ext>
                <a:ext uri="{FF2B5EF4-FFF2-40B4-BE49-F238E27FC236}">
                  <a16:creationId xmlns:a16="http://schemas.microsoft.com/office/drawing/2014/main" id="{00000000-0008-0000-1F00-00005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7</xdr:col>
          <xdr:colOff>0</xdr:colOff>
          <xdr:row>86</xdr:row>
          <xdr:rowOff>0</xdr:rowOff>
        </xdr:to>
        <xdr:sp macro="" textlink="">
          <xdr:nvSpPr>
            <xdr:cNvPr id="471127" name="bpmDropDownFLU735" hidden="1">
              <a:extLst>
                <a:ext uri="{63B3BB69-23CF-44E3-9099-C40C66FF867C}">
                  <a14:compatExt spid="_x0000_s471127"/>
                </a:ext>
                <a:ext uri="{FF2B5EF4-FFF2-40B4-BE49-F238E27FC236}">
                  <a16:creationId xmlns:a16="http://schemas.microsoft.com/office/drawing/2014/main" id="{00000000-0008-0000-1F00-00005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7</xdr:col>
          <xdr:colOff>0</xdr:colOff>
          <xdr:row>87</xdr:row>
          <xdr:rowOff>0</xdr:rowOff>
        </xdr:to>
        <xdr:sp macro="" textlink="">
          <xdr:nvSpPr>
            <xdr:cNvPr id="471128" name="bpmDropDownFLU760" hidden="1">
              <a:extLst>
                <a:ext uri="{63B3BB69-23CF-44E3-9099-C40C66FF867C}">
                  <a14:compatExt spid="_x0000_s471128"/>
                </a:ext>
                <a:ext uri="{FF2B5EF4-FFF2-40B4-BE49-F238E27FC236}">
                  <a16:creationId xmlns:a16="http://schemas.microsoft.com/office/drawing/2014/main" id="{00000000-0008-0000-1F00-00005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7</xdr:col>
          <xdr:colOff>0</xdr:colOff>
          <xdr:row>88</xdr:row>
          <xdr:rowOff>0</xdr:rowOff>
        </xdr:to>
        <xdr:sp macro="" textlink="">
          <xdr:nvSpPr>
            <xdr:cNvPr id="471129" name="bpmDropDownFLU761" hidden="1">
              <a:extLst>
                <a:ext uri="{63B3BB69-23CF-44E3-9099-C40C66FF867C}">
                  <a14:compatExt spid="_x0000_s471129"/>
                </a:ext>
                <a:ext uri="{FF2B5EF4-FFF2-40B4-BE49-F238E27FC236}">
                  <a16:creationId xmlns:a16="http://schemas.microsoft.com/office/drawing/2014/main" id="{00000000-0008-0000-1F00-00005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7</xdr:col>
          <xdr:colOff>0</xdr:colOff>
          <xdr:row>89</xdr:row>
          <xdr:rowOff>0</xdr:rowOff>
        </xdr:to>
        <xdr:sp macro="" textlink="">
          <xdr:nvSpPr>
            <xdr:cNvPr id="471131" name="bpmDropDownFLU763" hidden="1">
              <a:extLst>
                <a:ext uri="{63B3BB69-23CF-44E3-9099-C40C66FF867C}">
                  <a14:compatExt spid="_x0000_s471131"/>
                </a:ext>
                <a:ext uri="{FF2B5EF4-FFF2-40B4-BE49-F238E27FC236}">
                  <a16:creationId xmlns:a16="http://schemas.microsoft.com/office/drawing/2014/main" id="{00000000-0008-0000-1F00-00005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7</xdr:col>
          <xdr:colOff>0</xdr:colOff>
          <xdr:row>90</xdr:row>
          <xdr:rowOff>0</xdr:rowOff>
        </xdr:to>
        <xdr:sp macro="" textlink="">
          <xdr:nvSpPr>
            <xdr:cNvPr id="471132" name="bpmDropDownFLU764" hidden="1">
              <a:extLst>
                <a:ext uri="{63B3BB69-23CF-44E3-9099-C40C66FF867C}">
                  <a14:compatExt spid="_x0000_s471132"/>
                </a:ext>
                <a:ext uri="{FF2B5EF4-FFF2-40B4-BE49-F238E27FC236}">
                  <a16:creationId xmlns:a16="http://schemas.microsoft.com/office/drawing/2014/main" id="{00000000-0008-0000-1F00-00005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7</xdr:col>
          <xdr:colOff>0</xdr:colOff>
          <xdr:row>91</xdr:row>
          <xdr:rowOff>0</xdr:rowOff>
        </xdr:to>
        <xdr:sp macro="" textlink="">
          <xdr:nvSpPr>
            <xdr:cNvPr id="471133" name="bpmDropDownFLU765" hidden="1">
              <a:extLst>
                <a:ext uri="{63B3BB69-23CF-44E3-9099-C40C66FF867C}">
                  <a14:compatExt spid="_x0000_s471133"/>
                </a:ext>
                <a:ext uri="{FF2B5EF4-FFF2-40B4-BE49-F238E27FC236}">
                  <a16:creationId xmlns:a16="http://schemas.microsoft.com/office/drawing/2014/main" id="{00000000-0008-0000-1F00-00005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7</xdr:col>
          <xdr:colOff>0</xdr:colOff>
          <xdr:row>92</xdr:row>
          <xdr:rowOff>0</xdr:rowOff>
        </xdr:to>
        <xdr:sp macro="" textlink="">
          <xdr:nvSpPr>
            <xdr:cNvPr id="471134" name="bpmDropDownFLU766" hidden="1">
              <a:extLst>
                <a:ext uri="{63B3BB69-23CF-44E3-9099-C40C66FF867C}">
                  <a14:compatExt spid="_x0000_s471134"/>
                </a:ext>
                <a:ext uri="{FF2B5EF4-FFF2-40B4-BE49-F238E27FC236}">
                  <a16:creationId xmlns:a16="http://schemas.microsoft.com/office/drawing/2014/main" id="{00000000-0008-0000-1F00-00005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0</xdr:rowOff>
        </xdr:from>
        <xdr:to>
          <xdr:col>7</xdr:col>
          <xdr:colOff>0</xdr:colOff>
          <xdr:row>93</xdr:row>
          <xdr:rowOff>0</xdr:rowOff>
        </xdr:to>
        <xdr:sp macro="" textlink="">
          <xdr:nvSpPr>
            <xdr:cNvPr id="471135" name="bpmDropDownFLU767" hidden="1">
              <a:extLst>
                <a:ext uri="{63B3BB69-23CF-44E3-9099-C40C66FF867C}">
                  <a14:compatExt spid="_x0000_s471135"/>
                </a:ext>
                <a:ext uri="{FF2B5EF4-FFF2-40B4-BE49-F238E27FC236}">
                  <a16:creationId xmlns:a16="http://schemas.microsoft.com/office/drawing/2014/main" id="{00000000-0008-0000-1F00-00005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0</xdr:rowOff>
        </xdr:from>
        <xdr:to>
          <xdr:col>7</xdr:col>
          <xdr:colOff>0</xdr:colOff>
          <xdr:row>94</xdr:row>
          <xdr:rowOff>0</xdr:rowOff>
        </xdr:to>
        <xdr:sp macro="" textlink="">
          <xdr:nvSpPr>
            <xdr:cNvPr id="471136" name="bpmDropDownFLU768" hidden="1">
              <a:extLst>
                <a:ext uri="{63B3BB69-23CF-44E3-9099-C40C66FF867C}">
                  <a14:compatExt spid="_x0000_s471136"/>
                </a:ext>
                <a:ext uri="{FF2B5EF4-FFF2-40B4-BE49-F238E27FC236}">
                  <a16:creationId xmlns:a16="http://schemas.microsoft.com/office/drawing/2014/main" id="{00000000-0008-0000-1F00-00006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7</xdr:col>
          <xdr:colOff>0</xdr:colOff>
          <xdr:row>95</xdr:row>
          <xdr:rowOff>0</xdr:rowOff>
        </xdr:to>
        <xdr:sp macro="" textlink="">
          <xdr:nvSpPr>
            <xdr:cNvPr id="471137" name="bpmDropDownFLU769" hidden="1">
              <a:extLst>
                <a:ext uri="{63B3BB69-23CF-44E3-9099-C40C66FF867C}">
                  <a14:compatExt spid="_x0000_s471137"/>
                </a:ext>
                <a:ext uri="{FF2B5EF4-FFF2-40B4-BE49-F238E27FC236}">
                  <a16:creationId xmlns:a16="http://schemas.microsoft.com/office/drawing/2014/main" id="{00000000-0008-0000-1F00-00006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7</xdr:col>
          <xdr:colOff>0</xdr:colOff>
          <xdr:row>100</xdr:row>
          <xdr:rowOff>0</xdr:rowOff>
        </xdr:to>
        <xdr:sp macro="" textlink="">
          <xdr:nvSpPr>
            <xdr:cNvPr id="471138" name="bpmDropDownFLU770" hidden="1">
              <a:extLst>
                <a:ext uri="{63B3BB69-23CF-44E3-9099-C40C66FF867C}">
                  <a14:compatExt spid="_x0000_s471138"/>
                </a:ext>
                <a:ext uri="{FF2B5EF4-FFF2-40B4-BE49-F238E27FC236}">
                  <a16:creationId xmlns:a16="http://schemas.microsoft.com/office/drawing/2014/main" id="{00000000-0008-0000-1F00-00006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0</xdr:rowOff>
        </xdr:from>
        <xdr:to>
          <xdr:col>7</xdr:col>
          <xdr:colOff>0</xdr:colOff>
          <xdr:row>101</xdr:row>
          <xdr:rowOff>0</xdr:rowOff>
        </xdr:to>
        <xdr:sp macro="" textlink="">
          <xdr:nvSpPr>
            <xdr:cNvPr id="471139" name="bpmDropDownFLU771" hidden="1">
              <a:extLst>
                <a:ext uri="{63B3BB69-23CF-44E3-9099-C40C66FF867C}">
                  <a14:compatExt spid="_x0000_s471139"/>
                </a:ext>
                <a:ext uri="{FF2B5EF4-FFF2-40B4-BE49-F238E27FC236}">
                  <a16:creationId xmlns:a16="http://schemas.microsoft.com/office/drawing/2014/main" id="{00000000-0008-0000-1F00-00006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7</xdr:col>
          <xdr:colOff>0</xdr:colOff>
          <xdr:row>102</xdr:row>
          <xdr:rowOff>0</xdr:rowOff>
        </xdr:to>
        <xdr:sp macro="" textlink="">
          <xdr:nvSpPr>
            <xdr:cNvPr id="471140" name="bpmDropDownFLU772" hidden="1">
              <a:extLst>
                <a:ext uri="{63B3BB69-23CF-44E3-9099-C40C66FF867C}">
                  <a14:compatExt spid="_x0000_s471140"/>
                </a:ext>
                <a:ext uri="{FF2B5EF4-FFF2-40B4-BE49-F238E27FC236}">
                  <a16:creationId xmlns:a16="http://schemas.microsoft.com/office/drawing/2014/main" id="{00000000-0008-0000-1F00-00006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7</xdr:col>
          <xdr:colOff>0</xdr:colOff>
          <xdr:row>103</xdr:row>
          <xdr:rowOff>0</xdr:rowOff>
        </xdr:to>
        <xdr:sp macro="" textlink="">
          <xdr:nvSpPr>
            <xdr:cNvPr id="471141" name="bpmDropDownFLU773" hidden="1">
              <a:extLst>
                <a:ext uri="{63B3BB69-23CF-44E3-9099-C40C66FF867C}">
                  <a14:compatExt spid="_x0000_s471141"/>
                </a:ext>
                <a:ext uri="{FF2B5EF4-FFF2-40B4-BE49-F238E27FC236}">
                  <a16:creationId xmlns:a16="http://schemas.microsoft.com/office/drawing/2014/main" id="{00000000-0008-0000-1F00-00006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7</xdr:col>
          <xdr:colOff>0</xdr:colOff>
          <xdr:row>104</xdr:row>
          <xdr:rowOff>0</xdr:rowOff>
        </xdr:to>
        <xdr:sp macro="" textlink="">
          <xdr:nvSpPr>
            <xdr:cNvPr id="471142" name="bpmDropDownFLU774" hidden="1">
              <a:extLst>
                <a:ext uri="{63B3BB69-23CF-44E3-9099-C40C66FF867C}">
                  <a14:compatExt spid="_x0000_s471142"/>
                </a:ext>
                <a:ext uri="{FF2B5EF4-FFF2-40B4-BE49-F238E27FC236}">
                  <a16:creationId xmlns:a16="http://schemas.microsoft.com/office/drawing/2014/main" id="{00000000-0008-0000-1F00-00006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7</xdr:col>
          <xdr:colOff>0</xdr:colOff>
          <xdr:row>105</xdr:row>
          <xdr:rowOff>0</xdr:rowOff>
        </xdr:to>
        <xdr:sp macro="" textlink="">
          <xdr:nvSpPr>
            <xdr:cNvPr id="471143" name="bpmDropDownFLU775" hidden="1">
              <a:extLst>
                <a:ext uri="{63B3BB69-23CF-44E3-9099-C40C66FF867C}">
                  <a14:compatExt spid="_x0000_s471143"/>
                </a:ext>
                <a:ext uri="{FF2B5EF4-FFF2-40B4-BE49-F238E27FC236}">
                  <a16:creationId xmlns:a16="http://schemas.microsoft.com/office/drawing/2014/main" id="{00000000-0008-0000-1F00-00006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7</xdr:col>
          <xdr:colOff>0</xdr:colOff>
          <xdr:row>106</xdr:row>
          <xdr:rowOff>0</xdr:rowOff>
        </xdr:to>
        <xdr:sp macro="" textlink="">
          <xdr:nvSpPr>
            <xdr:cNvPr id="471144" name="bpmDropDownFLU776" hidden="1">
              <a:extLst>
                <a:ext uri="{63B3BB69-23CF-44E3-9099-C40C66FF867C}">
                  <a14:compatExt spid="_x0000_s471144"/>
                </a:ext>
                <a:ext uri="{FF2B5EF4-FFF2-40B4-BE49-F238E27FC236}">
                  <a16:creationId xmlns:a16="http://schemas.microsoft.com/office/drawing/2014/main" id="{00000000-0008-0000-1F00-00006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7</xdr:col>
          <xdr:colOff>0</xdr:colOff>
          <xdr:row>107</xdr:row>
          <xdr:rowOff>0</xdr:rowOff>
        </xdr:to>
        <xdr:sp macro="" textlink="">
          <xdr:nvSpPr>
            <xdr:cNvPr id="471145" name="bpmDropDownFLU777" hidden="1">
              <a:extLst>
                <a:ext uri="{63B3BB69-23CF-44E3-9099-C40C66FF867C}">
                  <a14:compatExt spid="_x0000_s471145"/>
                </a:ext>
                <a:ext uri="{FF2B5EF4-FFF2-40B4-BE49-F238E27FC236}">
                  <a16:creationId xmlns:a16="http://schemas.microsoft.com/office/drawing/2014/main" id="{00000000-0008-0000-1F00-00006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7</xdr:col>
          <xdr:colOff>0</xdr:colOff>
          <xdr:row>108</xdr:row>
          <xdr:rowOff>0</xdr:rowOff>
        </xdr:to>
        <xdr:sp macro="" textlink="">
          <xdr:nvSpPr>
            <xdr:cNvPr id="471146" name="bpmDropDownFLU778" hidden="1">
              <a:extLst>
                <a:ext uri="{63B3BB69-23CF-44E3-9099-C40C66FF867C}">
                  <a14:compatExt spid="_x0000_s471146"/>
                </a:ext>
                <a:ext uri="{FF2B5EF4-FFF2-40B4-BE49-F238E27FC236}">
                  <a16:creationId xmlns:a16="http://schemas.microsoft.com/office/drawing/2014/main" id="{00000000-0008-0000-1F00-00006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7</xdr:col>
          <xdr:colOff>0</xdr:colOff>
          <xdr:row>109</xdr:row>
          <xdr:rowOff>0</xdr:rowOff>
        </xdr:to>
        <xdr:sp macro="" textlink="">
          <xdr:nvSpPr>
            <xdr:cNvPr id="471147" name="bpmDropDownFLU779" hidden="1">
              <a:extLst>
                <a:ext uri="{63B3BB69-23CF-44E3-9099-C40C66FF867C}">
                  <a14:compatExt spid="_x0000_s471147"/>
                </a:ext>
                <a:ext uri="{FF2B5EF4-FFF2-40B4-BE49-F238E27FC236}">
                  <a16:creationId xmlns:a16="http://schemas.microsoft.com/office/drawing/2014/main" id="{00000000-0008-0000-1F00-00006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7</xdr:col>
          <xdr:colOff>0</xdr:colOff>
          <xdr:row>114</xdr:row>
          <xdr:rowOff>0</xdr:rowOff>
        </xdr:to>
        <xdr:sp macro="" textlink="">
          <xdr:nvSpPr>
            <xdr:cNvPr id="471148" name="bpmDropDownFLU780" hidden="1">
              <a:extLst>
                <a:ext uri="{63B3BB69-23CF-44E3-9099-C40C66FF867C}">
                  <a14:compatExt spid="_x0000_s471148"/>
                </a:ext>
                <a:ext uri="{FF2B5EF4-FFF2-40B4-BE49-F238E27FC236}">
                  <a16:creationId xmlns:a16="http://schemas.microsoft.com/office/drawing/2014/main" id="{00000000-0008-0000-1F00-00006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7</xdr:col>
          <xdr:colOff>0</xdr:colOff>
          <xdr:row>115</xdr:row>
          <xdr:rowOff>0</xdr:rowOff>
        </xdr:to>
        <xdr:sp macro="" textlink="">
          <xdr:nvSpPr>
            <xdr:cNvPr id="471149" name="bpmDropDownFLU781" hidden="1">
              <a:extLst>
                <a:ext uri="{63B3BB69-23CF-44E3-9099-C40C66FF867C}">
                  <a14:compatExt spid="_x0000_s471149"/>
                </a:ext>
                <a:ext uri="{FF2B5EF4-FFF2-40B4-BE49-F238E27FC236}">
                  <a16:creationId xmlns:a16="http://schemas.microsoft.com/office/drawing/2014/main" id="{00000000-0008-0000-1F00-00006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7</xdr:col>
          <xdr:colOff>0</xdr:colOff>
          <xdr:row>116</xdr:row>
          <xdr:rowOff>0</xdr:rowOff>
        </xdr:to>
        <xdr:sp macro="" textlink="">
          <xdr:nvSpPr>
            <xdr:cNvPr id="471150" name="bpmDropDownFLU799" hidden="1">
              <a:extLst>
                <a:ext uri="{63B3BB69-23CF-44E3-9099-C40C66FF867C}">
                  <a14:compatExt spid="_x0000_s471150"/>
                </a:ext>
                <a:ext uri="{FF2B5EF4-FFF2-40B4-BE49-F238E27FC236}">
                  <a16:creationId xmlns:a16="http://schemas.microsoft.com/office/drawing/2014/main" id="{00000000-0008-0000-1F00-00006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7</xdr:col>
          <xdr:colOff>0</xdr:colOff>
          <xdr:row>117</xdr:row>
          <xdr:rowOff>0</xdr:rowOff>
        </xdr:to>
        <xdr:sp macro="" textlink="">
          <xdr:nvSpPr>
            <xdr:cNvPr id="471151" name="bpmDropDownFLU800" hidden="1">
              <a:extLst>
                <a:ext uri="{63B3BB69-23CF-44E3-9099-C40C66FF867C}">
                  <a14:compatExt spid="_x0000_s471151"/>
                </a:ext>
                <a:ext uri="{FF2B5EF4-FFF2-40B4-BE49-F238E27FC236}">
                  <a16:creationId xmlns:a16="http://schemas.microsoft.com/office/drawing/2014/main" id="{00000000-0008-0000-1F00-00006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7</xdr:col>
          <xdr:colOff>0</xdr:colOff>
          <xdr:row>118</xdr:row>
          <xdr:rowOff>0</xdr:rowOff>
        </xdr:to>
        <xdr:sp macro="" textlink="">
          <xdr:nvSpPr>
            <xdr:cNvPr id="471152" name="bpmDropDownFLU820" hidden="1">
              <a:extLst>
                <a:ext uri="{63B3BB69-23CF-44E3-9099-C40C66FF867C}">
                  <a14:compatExt spid="_x0000_s471152"/>
                </a:ext>
                <a:ext uri="{FF2B5EF4-FFF2-40B4-BE49-F238E27FC236}">
                  <a16:creationId xmlns:a16="http://schemas.microsoft.com/office/drawing/2014/main" id="{00000000-0008-0000-1F00-00007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7</xdr:col>
          <xdr:colOff>0</xdr:colOff>
          <xdr:row>119</xdr:row>
          <xdr:rowOff>0</xdr:rowOff>
        </xdr:to>
        <xdr:sp macro="" textlink="">
          <xdr:nvSpPr>
            <xdr:cNvPr id="471153" name="bpmDropDownFLU821" hidden="1">
              <a:extLst>
                <a:ext uri="{63B3BB69-23CF-44E3-9099-C40C66FF867C}">
                  <a14:compatExt spid="_x0000_s471153"/>
                </a:ext>
                <a:ext uri="{FF2B5EF4-FFF2-40B4-BE49-F238E27FC236}">
                  <a16:creationId xmlns:a16="http://schemas.microsoft.com/office/drawing/2014/main" id="{00000000-0008-0000-1F00-00007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0</xdr:rowOff>
        </xdr:from>
        <xdr:to>
          <xdr:col>7</xdr:col>
          <xdr:colOff>0</xdr:colOff>
          <xdr:row>120</xdr:row>
          <xdr:rowOff>0</xdr:rowOff>
        </xdr:to>
        <xdr:sp macro="" textlink="">
          <xdr:nvSpPr>
            <xdr:cNvPr id="471154" name="bpmDropDownFLU822" hidden="1">
              <a:extLst>
                <a:ext uri="{63B3BB69-23CF-44E3-9099-C40C66FF867C}">
                  <a14:compatExt spid="_x0000_s471154"/>
                </a:ext>
                <a:ext uri="{FF2B5EF4-FFF2-40B4-BE49-F238E27FC236}">
                  <a16:creationId xmlns:a16="http://schemas.microsoft.com/office/drawing/2014/main" id="{00000000-0008-0000-1F00-00007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0</xdr:rowOff>
        </xdr:from>
        <xdr:to>
          <xdr:col>7</xdr:col>
          <xdr:colOff>0</xdr:colOff>
          <xdr:row>121</xdr:row>
          <xdr:rowOff>0</xdr:rowOff>
        </xdr:to>
        <xdr:sp macro="" textlink="">
          <xdr:nvSpPr>
            <xdr:cNvPr id="471155" name="bpmDropDownFLU823" hidden="1">
              <a:extLst>
                <a:ext uri="{63B3BB69-23CF-44E3-9099-C40C66FF867C}">
                  <a14:compatExt spid="_x0000_s471155"/>
                </a:ext>
                <a:ext uri="{FF2B5EF4-FFF2-40B4-BE49-F238E27FC236}">
                  <a16:creationId xmlns:a16="http://schemas.microsoft.com/office/drawing/2014/main" id="{00000000-0008-0000-1F00-00007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7</xdr:col>
          <xdr:colOff>0</xdr:colOff>
          <xdr:row>122</xdr:row>
          <xdr:rowOff>0</xdr:rowOff>
        </xdr:to>
        <xdr:sp macro="" textlink="">
          <xdr:nvSpPr>
            <xdr:cNvPr id="471156" name="bpmDropDownFLU824" hidden="1">
              <a:extLst>
                <a:ext uri="{63B3BB69-23CF-44E3-9099-C40C66FF867C}">
                  <a14:compatExt spid="_x0000_s471156"/>
                </a:ext>
                <a:ext uri="{FF2B5EF4-FFF2-40B4-BE49-F238E27FC236}">
                  <a16:creationId xmlns:a16="http://schemas.microsoft.com/office/drawing/2014/main" id="{00000000-0008-0000-1F00-00007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7</xdr:col>
          <xdr:colOff>0</xdr:colOff>
          <xdr:row>127</xdr:row>
          <xdr:rowOff>0</xdr:rowOff>
        </xdr:to>
        <xdr:sp macro="" textlink="">
          <xdr:nvSpPr>
            <xdr:cNvPr id="471157" name="bpmDropDownFLU825" hidden="1">
              <a:extLst>
                <a:ext uri="{63B3BB69-23CF-44E3-9099-C40C66FF867C}">
                  <a14:compatExt spid="_x0000_s471157"/>
                </a:ext>
                <a:ext uri="{FF2B5EF4-FFF2-40B4-BE49-F238E27FC236}">
                  <a16:creationId xmlns:a16="http://schemas.microsoft.com/office/drawing/2014/main" id="{00000000-0008-0000-1F00-00007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7</xdr:col>
          <xdr:colOff>0</xdr:colOff>
          <xdr:row>128</xdr:row>
          <xdr:rowOff>0</xdr:rowOff>
        </xdr:to>
        <xdr:sp macro="" textlink="">
          <xdr:nvSpPr>
            <xdr:cNvPr id="471158" name="bpmDropDownFLU826" hidden="1">
              <a:extLst>
                <a:ext uri="{63B3BB69-23CF-44E3-9099-C40C66FF867C}">
                  <a14:compatExt spid="_x0000_s471158"/>
                </a:ext>
                <a:ext uri="{FF2B5EF4-FFF2-40B4-BE49-F238E27FC236}">
                  <a16:creationId xmlns:a16="http://schemas.microsoft.com/office/drawing/2014/main" id="{00000000-0008-0000-1F00-00007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7</xdr:col>
          <xdr:colOff>0</xdr:colOff>
          <xdr:row>129</xdr:row>
          <xdr:rowOff>0</xdr:rowOff>
        </xdr:to>
        <xdr:sp macro="" textlink="">
          <xdr:nvSpPr>
            <xdr:cNvPr id="471159" name="bpmDropDownFLU827" hidden="1">
              <a:extLst>
                <a:ext uri="{63B3BB69-23CF-44E3-9099-C40C66FF867C}">
                  <a14:compatExt spid="_x0000_s471159"/>
                </a:ext>
                <a:ext uri="{FF2B5EF4-FFF2-40B4-BE49-F238E27FC236}">
                  <a16:creationId xmlns:a16="http://schemas.microsoft.com/office/drawing/2014/main" id="{00000000-0008-0000-1F00-00007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7</xdr:col>
          <xdr:colOff>0</xdr:colOff>
          <xdr:row>130</xdr:row>
          <xdr:rowOff>0</xdr:rowOff>
        </xdr:to>
        <xdr:sp macro="" textlink="">
          <xdr:nvSpPr>
            <xdr:cNvPr id="471160" name="bpmDropDownFLU828" hidden="1">
              <a:extLst>
                <a:ext uri="{63B3BB69-23CF-44E3-9099-C40C66FF867C}">
                  <a14:compatExt spid="_x0000_s471160"/>
                </a:ext>
                <a:ext uri="{FF2B5EF4-FFF2-40B4-BE49-F238E27FC236}">
                  <a16:creationId xmlns:a16="http://schemas.microsoft.com/office/drawing/2014/main" id="{00000000-0008-0000-1F00-00007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7</xdr:col>
          <xdr:colOff>0</xdr:colOff>
          <xdr:row>131</xdr:row>
          <xdr:rowOff>0</xdr:rowOff>
        </xdr:to>
        <xdr:sp macro="" textlink="">
          <xdr:nvSpPr>
            <xdr:cNvPr id="471161" name="bpmDropDownFLU829" hidden="1">
              <a:extLst>
                <a:ext uri="{63B3BB69-23CF-44E3-9099-C40C66FF867C}">
                  <a14:compatExt spid="_x0000_s471161"/>
                </a:ext>
                <a:ext uri="{FF2B5EF4-FFF2-40B4-BE49-F238E27FC236}">
                  <a16:creationId xmlns:a16="http://schemas.microsoft.com/office/drawing/2014/main" id="{00000000-0008-0000-1F00-00007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0</xdr:rowOff>
        </xdr:from>
        <xdr:to>
          <xdr:col>7</xdr:col>
          <xdr:colOff>0</xdr:colOff>
          <xdr:row>132</xdr:row>
          <xdr:rowOff>0</xdr:rowOff>
        </xdr:to>
        <xdr:sp macro="" textlink="">
          <xdr:nvSpPr>
            <xdr:cNvPr id="471162" name="bpmDropDownFLU830" hidden="1">
              <a:extLst>
                <a:ext uri="{63B3BB69-23CF-44E3-9099-C40C66FF867C}">
                  <a14:compatExt spid="_x0000_s471162"/>
                </a:ext>
                <a:ext uri="{FF2B5EF4-FFF2-40B4-BE49-F238E27FC236}">
                  <a16:creationId xmlns:a16="http://schemas.microsoft.com/office/drawing/2014/main" id="{00000000-0008-0000-1F00-00007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7</xdr:col>
          <xdr:colOff>0</xdr:colOff>
          <xdr:row>133</xdr:row>
          <xdr:rowOff>0</xdr:rowOff>
        </xdr:to>
        <xdr:sp macro="" textlink="">
          <xdr:nvSpPr>
            <xdr:cNvPr id="471163" name="bpmDropDownFLU831" hidden="1">
              <a:extLst>
                <a:ext uri="{63B3BB69-23CF-44E3-9099-C40C66FF867C}">
                  <a14:compatExt spid="_x0000_s471163"/>
                </a:ext>
                <a:ext uri="{FF2B5EF4-FFF2-40B4-BE49-F238E27FC236}">
                  <a16:creationId xmlns:a16="http://schemas.microsoft.com/office/drawing/2014/main" id="{00000000-0008-0000-1F00-00007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7</xdr:col>
          <xdr:colOff>0</xdr:colOff>
          <xdr:row>134</xdr:row>
          <xdr:rowOff>0</xdr:rowOff>
        </xdr:to>
        <xdr:sp macro="" textlink="">
          <xdr:nvSpPr>
            <xdr:cNvPr id="471164" name="bpmDropDownFLU832" hidden="1">
              <a:extLst>
                <a:ext uri="{63B3BB69-23CF-44E3-9099-C40C66FF867C}">
                  <a14:compatExt spid="_x0000_s471164"/>
                </a:ext>
                <a:ext uri="{FF2B5EF4-FFF2-40B4-BE49-F238E27FC236}">
                  <a16:creationId xmlns:a16="http://schemas.microsoft.com/office/drawing/2014/main" id="{00000000-0008-0000-1F00-00007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7</xdr:col>
          <xdr:colOff>0</xdr:colOff>
          <xdr:row>135</xdr:row>
          <xdr:rowOff>0</xdr:rowOff>
        </xdr:to>
        <xdr:sp macro="" textlink="">
          <xdr:nvSpPr>
            <xdr:cNvPr id="471165" name="bpmDropDownFLU833" hidden="1">
              <a:extLst>
                <a:ext uri="{63B3BB69-23CF-44E3-9099-C40C66FF867C}">
                  <a14:compatExt spid="_x0000_s471165"/>
                </a:ext>
                <a:ext uri="{FF2B5EF4-FFF2-40B4-BE49-F238E27FC236}">
                  <a16:creationId xmlns:a16="http://schemas.microsoft.com/office/drawing/2014/main" id="{00000000-0008-0000-1F00-00007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7</xdr:col>
          <xdr:colOff>0</xdr:colOff>
          <xdr:row>147</xdr:row>
          <xdr:rowOff>0</xdr:rowOff>
        </xdr:to>
        <xdr:sp macro="" textlink="">
          <xdr:nvSpPr>
            <xdr:cNvPr id="471166" name="bpmDropDownFLU834" hidden="1">
              <a:extLst>
                <a:ext uri="{63B3BB69-23CF-44E3-9099-C40C66FF867C}">
                  <a14:compatExt spid="_x0000_s471166"/>
                </a:ext>
                <a:ext uri="{FF2B5EF4-FFF2-40B4-BE49-F238E27FC236}">
                  <a16:creationId xmlns:a16="http://schemas.microsoft.com/office/drawing/2014/main" id="{00000000-0008-0000-1F00-00007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0</xdr:rowOff>
        </xdr:from>
        <xdr:to>
          <xdr:col>7</xdr:col>
          <xdr:colOff>0</xdr:colOff>
          <xdr:row>148</xdr:row>
          <xdr:rowOff>0</xdr:rowOff>
        </xdr:to>
        <xdr:sp macro="" textlink="">
          <xdr:nvSpPr>
            <xdr:cNvPr id="471167" name="bpmDropDownFLU835" hidden="1">
              <a:extLst>
                <a:ext uri="{63B3BB69-23CF-44E3-9099-C40C66FF867C}">
                  <a14:compatExt spid="_x0000_s471167"/>
                </a:ext>
                <a:ext uri="{FF2B5EF4-FFF2-40B4-BE49-F238E27FC236}">
                  <a16:creationId xmlns:a16="http://schemas.microsoft.com/office/drawing/2014/main" id="{00000000-0008-0000-1F00-00007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7</xdr:col>
          <xdr:colOff>0</xdr:colOff>
          <xdr:row>149</xdr:row>
          <xdr:rowOff>0</xdr:rowOff>
        </xdr:to>
        <xdr:sp macro="" textlink="">
          <xdr:nvSpPr>
            <xdr:cNvPr id="471168" name="bpmDropDownFLU836" hidden="1">
              <a:extLst>
                <a:ext uri="{63B3BB69-23CF-44E3-9099-C40C66FF867C}">
                  <a14:compatExt spid="_x0000_s471168"/>
                </a:ext>
                <a:ext uri="{FF2B5EF4-FFF2-40B4-BE49-F238E27FC236}">
                  <a16:creationId xmlns:a16="http://schemas.microsoft.com/office/drawing/2014/main" id="{00000000-0008-0000-1F00-00008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7</xdr:col>
          <xdr:colOff>0</xdr:colOff>
          <xdr:row>150</xdr:row>
          <xdr:rowOff>0</xdr:rowOff>
        </xdr:to>
        <xdr:sp macro="" textlink="">
          <xdr:nvSpPr>
            <xdr:cNvPr id="471169" name="bpmDropDownFLU837" hidden="1">
              <a:extLst>
                <a:ext uri="{63B3BB69-23CF-44E3-9099-C40C66FF867C}">
                  <a14:compatExt spid="_x0000_s471169"/>
                </a:ext>
                <a:ext uri="{FF2B5EF4-FFF2-40B4-BE49-F238E27FC236}">
                  <a16:creationId xmlns:a16="http://schemas.microsoft.com/office/drawing/2014/main" id="{00000000-0008-0000-1F00-00008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0</xdr:rowOff>
        </xdr:from>
        <xdr:to>
          <xdr:col>7</xdr:col>
          <xdr:colOff>0</xdr:colOff>
          <xdr:row>151</xdr:row>
          <xdr:rowOff>0</xdr:rowOff>
        </xdr:to>
        <xdr:sp macro="" textlink="">
          <xdr:nvSpPr>
            <xdr:cNvPr id="471170" name="bpmDropDownFLU838" hidden="1">
              <a:extLst>
                <a:ext uri="{63B3BB69-23CF-44E3-9099-C40C66FF867C}">
                  <a14:compatExt spid="_x0000_s471170"/>
                </a:ext>
                <a:ext uri="{FF2B5EF4-FFF2-40B4-BE49-F238E27FC236}">
                  <a16:creationId xmlns:a16="http://schemas.microsoft.com/office/drawing/2014/main" id="{00000000-0008-0000-1F00-00008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7</xdr:col>
          <xdr:colOff>0</xdr:colOff>
          <xdr:row>152</xdr:row>
          <xdr:rowOff>0</xdr:rowOff>
        </xdr:to>
        <xdr:sp macro="" textlink="">
          <xdr:nvSpPr>
            <xdr:cNvPr id="471171" name="bpmDropDownFLU839" hidden="1">
              <a:extLst>
                <a:ext uri="{63B3BB69-23CF-44E3-9099-C40C66FF867C}">
                  <a14:compatExt spid="_x0000_s471171"/>
                </a:ext>
                <a:ext uri="{FF2B5EF4-FFF2-40B4-BE49-F238E27FC236}">
                  <a16:creationId xmlns:a16="http://schemas.microsoft.com/office/drawing/2014/main" id="{00000000-0008-0000-1F00-00008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7</xdr:col>
          <xdr:colOff>0</xdr:colOff>
          <xdr:row>153</xdr:row>
          <xdr:rowOff>0</xdr:rowOff>
        </xdr:to>
        <xdr:sp macro="" textlink="">
          <xdr:nvSpPr>
            <xdr:cNvPr id="471172" name="bpmDropDownFLU840" hidden="1">
              <a:extLst>
                <a:ext uri="{63B3BB69-23CF-44E3-9099-C40C66FF867C}">
                  <a14:compatExt spid="_x0000_s471172"/>
                </a:ext>
                <a:ext uri="{FF2B5EF4-FFF2-40B4-BE49-F238E27FC236}">
                  <a16:creationId xmlns:a16="http://schemas.microsoft.com/office/drawing/2014/main" id="{00000000-0008-0000-1F00-00008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153</xdr:row>
          <xdr:rowOff>0</xdr:rowOff>
        </xdr:from>
        <xdr:to>
          <xdr:col>7</xdr:col>
          <xdr:colOff>0</xdr:colOff>
          <xdr:row>154</xdr:row>
          <xdr:rowOff>0</xdr:rowOff>
        </xdr:to>
        <xdr:sp macro="" textlink="">
          <xdr:nvSpPr>
            <xdr:cNvPr id="471173" name="bpmDropDownFLU841" hidden="1">
              <a:extLst>
                <a:ext uri="{63B3BB69-23CF-44E3-9099-C40C66FF867C}">
                  <a14:compatExt spid="_x0000_s471173"/>
                </a:ext>
                <a:ext uri="{FF2B5EF4-FFF2-40B4-BE49-F238E27FC236}">
                  <a16:creationId xmlns:a16="http://schemas.microsoft.com/office/drawing/2014/main" id="{00000000-0008-0000-1F00-00008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7</xdr:col>
          <xdr:colOff>0</xdr:colOff>
          <xdr:row>155</xdr:row>
          <xdr:rowOff>0</xdr:rowOff>
        </xdr:to>
        <xdr:sp macro="" textlink="">
          <xdr:nvSpPr>
            <xdr:cNvPr id="471175" name="bpmDropDownFLU843" hidden="1">
              <a:extLst>
                <a:ext uri="{63B3BB69-23CF-44E3-9099-C40C66FF867C}">
                  <a14:compatExt spid="_x0000_s471175"/>
                </a:ext>
                <a:ext uri="{FF2B5EF4-FFF2-40B4-BE49-F238E27FC236}">
                  <a16:creationId xmlns:a16="http://schemas.microsoft.com/office/drawing/2014/main" id="{00000000-0008-0000-1F00-00008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7</xdr:col>
          <xdr:colOff>0</xdr:colOff>
          <xdr:row>156</xdr:row>
          <xdr:rowOff>0</xdr:rowOff>
        </xdr:to>
        <xdr:sp macro="" textlink="">
          <xdr:nvSpPr>
            <xdr:cNvPr id="471176" name="bpmDropDownFLU844" hidden="1">
              <a:extLst>
                <a:ext uri="{63B3BB69-23CF-44E3-9099-C40C66FF867C}">
                  <a14:compatExt spid="_x0000_s471176"/>
                </a:ext>
                <a:ext uri="{FF2B5EF4-FFF2-40B4-BE49-F238E27FC236}">
                  <a16:creationId xmlns:a16="http://schemas.microsoft.com/office/drawing/2014/main" id="{00000000-0008-0000-1F00-00008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7</xdr:col>
          <xdr:colOff>0</xdr:colOff>
          <xdr:row>157</xdr:row>
          <xdr:rowOff>0</xdr:rowOff>
        </xdr:to>
        <xdr:sp macro="" textlink="">
          <xdr:nvSpPr>
            <xdr:cNvPr id="471177" name="bpmDropDownFLU847" hidden="1">
              <a:extLst>
                <a:ext uri="{63B3BB69-23CF-44E3-9099-C40C66FF867C}">
                  <a14:compatExt spid="_x0000_s471177"/>
                </a:ext>
                <a:ext uri="{FF2B5EF4-FFF2-40B4-BE49-F238E27FC236}">
                  <a16:creationId xmlns:a16="http://schemas.microsoft.com/office/drawing/2014/main" id="{00000000-0008-0000-1F00-00008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7</xdr:col>
          <xdr:colOff>0</xdr:colOff>
          <xdr:row>158</xdr:row>
          <xdr:rowOff>0</xdr:rowOff>
        </xdr:to>
        <xdr:sp macro="" textlink="">
          <xdr:nvSpPr>
            <xdr:cNvPr id="471178" name="bpmDropDownFLU848" hidden="1">
              <a:extLst>
                <a:ext uri="{63B3BB69-23CF-44E3-9099-C40C66FF867C}">
                  <a14:compatExt spid="_x0000_s471178"/>
                </a:ext>
                <a:ext uri="{FF2B5EF4-FFF2-40B4-BE49-F238E27FC236}">
                  <a16:creationId xmlns:a16="http://schemas.microsoft.com/office/drawing/2014/main" id="{00000000-0008-0000-1F00-00008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7</xdr:col>
          <xdr:colOff>0</xdr:colOff>
          <xdr:row>159</xdr:row>
          <xdr:rowOff>0</xdr:rowOff>
        </xdr:to>
        <xdr:sp macro="" textlink="">
          <xdr:nvSpPr>
            <xdr:cNvPr id="471179" name="bpmDropDownFLU849" hidden="1">
              <a:extLst>
                <a:ext uri="{63B3BB69-23CF-44E3-9099-C40C66FF867C}">
                  <a14:compatExt spid="_x0000_s471179"/>
                </a:ext>
                <a:ext uri="{FF2B5EF4-FFF2-40B4-BE49-F238E27FC236}">
                  <a16:creationId xmlns:a16="http://schemas.microsoft.com/office/drawing/2014/main" id="{00000000-0008-0000-1F00-00008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7</xdr:col>
          <xdr:colOff>0</xdr:colOff>
          <xdr:row>160</xdr:row>
          <xdr:rowOff>0</xdr:rowOff>
        </xdr:to>
        <xdr:sp macro="" textlink="">
          <xdr:nvSpPr>
            <xdr:cNvPr id="471180" name="bpmDropDownFLU850" hidden="1">
              <a:extLst>
                <a:ext uri="{63B3BB69-23CF-44E3-9099-C40C66FF867C}">
                  <a14:compatExt spid="_x0000_s471180"/>
                </a:ext>
                <a:ext uri="{FF2B5EF4-FFF2-40B4-BE49-F238E27FC236}">
                  <a16:creationId xmlns:a16="http://schemas.microsoft.com/office/drawing/2014/main" id="{00000000-0008-0000-1F00-00008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7</xdr:col>
          <xdr:colOff>0</xdr:colOff>
          <xdr:row>161</xdr:row>
          <xdr:rowOff>0</xdr:rowOff>
        </xdr:to>
        <xdr:sp macro="" textlink="">
          <xdr:nvSpPr>
            <xdr:cNvPr id="471181" name="bpmDropDownFLU851" hidden="1">
              <a:extLst>
                <a:ext uri="{63B3BB69-23CF-44E3-9099-C40C66FF867C}">
                  <a14:compatExt spid="_x0000_s471181"/>
                </a:ext>
                <a:ext uri="{FF2B5EF4-FFF2-40B4-BE49-F238E27FC236}">
                  <a16:creationId xmlns:a16="http://schemas.microsoft.com/office/drawing/2014/main" id="{00000000-0008-0000-1F00-00008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7</xdr:col>
          <xdr:colOff>0</xdr:colOff>
          <xdr:row>166</xdr:row>
          <xdr:rowOff>0</xdr:rowOff>
        </xdr:to>
        <xdr:sp macro="" textlink="">
          <xdr:nvSpPr>
            <xdr:cNvPr id="471182" name="bpmDropDownFLU852" hidden="1">
              <a:extLst>
                <a:ext uri="{63B3BB69-23CF-44E3-9099-C40C66FF867C}">
                  <a14:compatExt spid="_x0000_s471182"/>
                </a:ext>
                <a:ext uri="{FF2B5EF4-FFF2-40B4-BE49-F238E27FC236}">
                  <a16:creationId xmlns:a16="http://schemas.microsoft.com/office/drawing/2014/main" id="{00000000-0008-0000-1F00-00008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7</xdr:col>
          <xdr:colOff>0</xdr:colOff>
          <xdr:row>167</xdr:row>
          <xdr:rowOff>0</xdr:rowOff>
        </xdr:to>
        <xdr:sp macro="" textlink="">
          <xdr:nvSpPr>
            <xdr:cNvPr id="471183" name="bpmDropDownFLU853" hidden="1">
              <a:extLst>
                <a:ext uri="{63B3BB69-23CF-44E3-9099-C40C66FF867C}">
                  <a14:compatExt spid="_x0000_s471183"/>
                </a:ext>
                <a:ext uri="{FF2B5EF4-FFF2-40B4-BE49-F238E27FC236}">
                  <a16:creationId xmlns:a16="http://schemas.microsoft.com/office/drawing/2014/main" id="{00000000-0008-0000-1F00-00008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7</xdr:col>
          <xdr:colOff>0</xdr:colOff>
          <xdr:row>168</xdr:row>
          <xdr:rowOff>0</xdr:rowOff>
        </xdr:to>
        <xdr:sp macro="" textlink="">
          <xdr:nvSpPr>
            <xdr:cNvPr id="471184" name="bpmDropDownFLU854" hidden="1">
              <a:extLst>
                <a:ext uri="{63B3BB69-23CF-44E3-9099-C40C66FF867C}">
                  <a14:compatExt spid="_x0000_s471184"/>
                </a:ext>
                <a:ext uri="{FF2B5EF4-FFF2-40B4-BE49-F238E27FC236}">
                  <a16:creationId xmlns:a16="http://schemas.microsoft.com/office/drawing/2014/main" id="{00000000-0008-0000-1F00-00009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7</xdr:col>
          <xdr:colOff>0</xdr:colOff>
          <xdr:row>169</xdr:row>
          <xdr:rowOff>0</xdr:rowOff>
        </xdr:to>
        <xdr:sp macro="" textlink="">
          <xdr:nvSpPr>
            <xdr:cNvPr id="471185" name="bpmDropDownFLU883" hidden="1">
              <a:extLst>
                <a:ext uri="{63B3BB69-23CF-44E3-9099-C40C66FF867C}">
                  <a14:compatExt spid="_x0000_s471185"/>
                </a:ext>
                <a:ext uri="{FF2B5EF4-FFF2-40B4-BE49-F238E27FC236}">
                  <a16:creationId xmlns:a16="http://schemas.microsoft.com/office/drawing/2014/main" id="{00000000-0008-0000-1F00-00009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169</xdr:row>
          <xdr:rowOff>0</xdr:rowOff>
        </xdr:from>
        <xdr:to>
          <xdr:col>7</xdr:col>
          <xdr:colOff>0</xdr:colOff>
          <xdr:row>170</xdr:row>
          <xdr:rowOff>0</xdr:rowOff>
        </xdr:to>
        <xdr:sp macro="" textlink="">
          <xdr:nvSpPr>
            <xdr:cNvPr id="471186" name="bpmDropDownFLU884" hidden="1">
              <a:extLst>
                <a:ext uri="{63B3BB69-23CF-44E3-9099-C40C66FF867C}">
                  <a14:compatExt spid="_x0000_s471186"/>
                </a:ext>
                <a:ext uri="{FF2B5EF4-FFF2-40B4-BE49-F238E27FC236}">
                  <a16:creationId xmlns:a16="http://schemas.microsoft.com/office/drawing/2014/main" id="{00000000-0008-0000-1F00-00009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7</xdr:col>
          <xdr:colOff>0</xdr:colOff>
          <xdr:row>171</xdr:row>
          <xdr:rowOff>0</xdr:rowOff>
        </xdr:to>
        <xdr:sp macro="" textlink="">
          <xdr:nvSpPr>
            <xdr:cNvPr id="471187" name="bpmDropDownFLU885" hidden="1">
              <a:extLst>
                <a:ext uri="{63B3BB69-23CF-44E3-9099-C40C66FF867C}">
                  <a14:compatExt spid="_x0000_s471187"/>
                </a:ext>
                <a:ext uri="{FF2B5EF4-FFF2-40B4-BE49-F238E27FC236}">
                  <a16:creationId xmlns:a16="http://schemas.microsoft.com/office/drawing/2014/main" id="{00000000-0008-0000-1F00-00009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171</xdr:row>
          <xdr:rowOff>0</xdr:rowOff>
        </xdr:from>
        <xdr:to>
          <xdr:col>7</xdr:col>
          <xdr:colOff>0</xdr:colOff>
          <xdr:row>172</xdr:row>
          <xdr:rowOff>0</xdr:rowOff>
        </xdr:to>
        <xdr:sp macro="" textlink="">
          <xdr:nvSpPr>
            <xdr:cNvPr id="471188" name="bpmDropDownFLU886" hidden="1">
              <a:extLst>
                <a:ext uri="{63B3BB69-23CF-44E3-9099-C40C66FF867C}">
                  <a14:compatExt spid="_x0000_s471188"/>
                </a:ext>
                <a:ext uri="{FF2B5EF4-FFF2-40B4-BE49-F238E27FC236}">
                  <a16:creationId xmlns:a16="http://schemas.microsoft.com/office/drawing/2014/main" id="{00000000-0008-0000-1F00-00009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0</xdr:rowOff>
        </xdr:from>
        <xdr:to>
          <xdr:col>7</xdr:col>
          <xdr:colOff>0</xdr:colOff>
          <xdr:row>173</xdr:row>
          <xdr:rowOff>0</xdr:rowOff>
        </xdr:to>
        <xdr:sp macro="" textlink="">
          <xdr:nvSpPr>
            <xdr:cNvPr id="471189" name="bpmDropDownFLU887" hidden="1">
              <a:extLst>
                <a:ext uri="{63B3BB69-23CF-44E3-9099-C40C66FF867C}">
                  <a14:compatExt spid="_x0000_s471189"/>
                </a:ext>
                <a:ext uri="{FF2B5EF4-FFF2-40B4-BE49-F238E27FC236}">
                  <a16:creationId xmlns:a16="http://schemas.microsoft.com/office/drawing/2014/main" id="{00000000-0008-0000-1F00-00009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173</xdr:row>
          <xdr:rowOff>0</xdr:rowOff>
        </xdr:from>
        <xdr:to>
          <xdr:col>7</xdr:col>
          <xdr:colOff>0</xdr:colOff>
          <xdr:row>174</xdr:row>
          <xdr:rowOff>0</xdr:rowOff>
        </xdr:to>
        <xdr:sp macro="" textlink="">
          <xdr:nvSpPr>
            <xdr:cNvPr id="471190" name="bpmDropDownFLU888" hidden="1">
              <a:extLst>
                <a:ext uri="{63B3BB69-23CF-44E3-9099-C40C66FF867C}">
                  <a14:compatExt spid="_x0000_s471190"/>
                </a:ext>
                <a:ext uri="{FF2B5EF4-FFF2-40B4-BE49-F238E27FC236}">
                  <a16:creationId xmlns:a16="http://schemas.microsoft.com/office/drawing/2014/main" id="{00000000-0008-0000-1F00-00009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174</xdr:row>
          <xdr:rowOff>0</xdr:rowOff>
        </xdr:from>
        <xdr:to>
          <xdr:col>7</xdr:col>
          <xdr:colOff>0</xdr:colOff>
          <xdr:row>175</xdr:row>
          <xdr:rowOff>0</xdr:rowOff>
        </xdr:to>
        <xdr:sp macro="" textlink="">
          <xdr:nvSpPr>
            <xdr:cNvPr id="471191" name="bpmDropDownFLU889" hidden="1">
              <a:extLst>
                <a:ext uri="{63B3BB69-23CF-44E3-9099-C40C66FF867C}">
                  <a14:compatExt spid="_x0000_s471191"/>
                </a:ext>
                <a:ext uri="{FF2B5EF4-FFF2-40B4-BE49-F238E27FC236}">
                  <a16:creationId xmlns:a16="http://schemas.microsoft.com/office/drawing/2014/main" id="{00000000-0008-0000-1F00-00009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179</xdr:row>
          <xdr:rowOff>0</xdr:rowOff>
        </xdr:from>
        <xdr:to>
          <xdr:col>7</xdr:col>
          <xdr:colOff>0</xdr:colOff>
          <xdr:row>180</xdr:row>
          <xdr:rowOff>0</xdr:rowOff>
        </xdr:to>
        <xdr:sp macro="" textlink="">
          <xdr:nvSpPr>
            <xdr:cNvPr id="471192" name="bpmDropDownFLU890" hidden="1">
              <a:extLst>
                <a:ext uri="{63B3BB69-23CF-44E3-9099-C40C66FF867C}">
                  <a14:compatExt spid="_x0000_s471192"/>
                </a:ext>
                <a:ext uri="{FF2B5EF4-FFF2-40B4-BE49-F238E27FC236}">
                  <a16:creationId xmlns:a16="http://schemas.microsoft.com/office/drawing/2014/main" id="{00000000-0008-0000-1F00-00009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180</xdr:row>
          <xdr:rowOff>0</xdr:rowOff>
        </xdr:from>
        <xdr:to>
          <xdr:col>7</xdr:col>
          <xdr:colOff>0</xdr:colOff>
          <xdr:row>181</xdr:row>
          <xdr:rowOff>0</xdr:rowOff>
        </xdr:to>
        <xdr:sp macro="" textlink="">
          <xdr:nvSpPr>
            <xdr:cNvPr id="471193" name="bpmDropDownFLU891" hidden="1">
              <a:extLst>
                <a:ext uri="{63B3BB69-23CF-44E3-9099-C40C66FF867C}">
                  <a14:compatExt spid="_x0000_s471193"/>
                </a:ext>
                <a:ext uri="{FF2B5EF4-FFF2-40B4-BE49-F238E27FC236}">
                  <a16:creationId xmlns:a16="http://schemas.microsoft.com/office/drawing/2014/main" id="{00000000-0008-0000-1F00-00009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181</xdr:row>
          <xdr:rowOff>0</xdr:rowOff>
        </xdr:from>
        <xdr:to>
          <xdr:col>7</xdr:col>
          <xdr:colOff>0</xdr:colOff>
          <xdr:row>182</xdr:row>
          <xdr:rowOff>0</xdr:rowOff>
        </xdr:to>
        <xdr:sp macro="" textlink="">
          <xdr:nvSpPr>
            <xdr:cNvPr id="471194" name="bpmDropDownFLU892" hidden="1">
              <a:extLst>
                <a:ext uri="{63B3BB69-23CF-44E3-9099-C40C66FF867C}">
                  <a14:compatExt spid="_x0000_s471194"/>
                </a:ext>
                <a:ext uri="{FF2B5EF4-FFF2-40B4-BE49-F238E27FC236}">
                  <a16:creationId xmlns:a16="http://schemas.microsoft.com/office/drawing/2014/main" id="{00000000-0008-0000-1F00-00009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0</xdr:rowOff>
        </xdr:from>
        <xdr:to>
          <xdr:col>7</xdr:col>
          <xdr:colOff>0</xdr:colOff>
          <xdr:row>183</xdr:row>
          <xdr:rowOff>0</xdr:rowOff>
        </xdr:to>
        <xdr:sp macro="" textlink="">
          <xdr:nvSpPr>
            <xdr:cNvPr id="471195" name="bpmDropDownFLU893" hidden="1">
              <a:extLst>
                <a:ext uri="{63B3BB69-23CF-44E3-9099-C40C66FF867C}">
                  <a14:compatExt spid="_x0000_s471195"/>
                </a:ext>
                <a:ext uri="{FF2B5EF4-FFF2-40B4-BE49-F238E27FC236}">
                  <a16:creationId xmlns:a16="http://schemas.microsoft.com/office/drawing/2014/main" id="{00000000-0008-0000-1F00-00009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183</xdr:row>
          <xdr:rowOff>0</xdr:rowOff>
        </xdr:from>
        <xdr:to>
          <xdr:col>7</xdr:col>
          <xdr:colOff>0</xdr:colOff>
          <xdr:row>184</xdr:row>
          <xdr:rowOff>0</xdr:rowOff>
        </xdr:to>
        <xdr:sp macro="" textlink="">
          <xdr:nvSpPr>
            <xdr:cNvPr id="471196" name="bpmDropDownFLU894" hidden="1">
              <a:extLst>
                <a:ext uri="{63B3BB69-23CF-44E3-9099-C40C66FF867C}">
                  <a14:compatExt spid="_x0000_s471196"/>
                </a:ext>
                <a:ext uri="{FF2B5EF4-FFF2-40B4-BE49-F238E27FC236}">
                  <a16:creationId xmlns:a16="http://schemas.microsoft.com/office/drawing/2014/main" id="{00000000-0008-0000-1F00-00009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7</xdr:col>
          <xdr:colOff>0</xdr:colOff>
          <xdr:row>185</xdr:row>
          <xdr:rowOff>0</xdr:rowOff>
        </xdr:to>
        <xdr:sp macro="" textlink="">
          <xdr:nvSpPr>
            <xdr:cNvPr id="471197" name="bpmDropDownFLU895" hidden="1">
              <a:extLst>
                <a:ext uri="{63B3BB69-23CF-44E3-9099-C40C66FF867C}">
                  <a14:compatExt spid="_x0000_s471197"/>
                </a:ext>
                <a:ext uri="{FF2B5EF4-FFF2-40B4-BE49-F238E27FC236}">
                  <a16:creationId xmlns:a16="http://schemas.microsoft.com/office/drawing/2014/main" id="{00000000-0008-0000-1F00-00009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185</xdr:row>
          <xdr:rowOff>0</xdr:rowOff>
        </xdr:from>
        <xdr:to>
          <xdr:col>7</xdr:col>
          <xdr:colOff>0</xdr:colOff>
          <xdr:row>186</xdr:row>
          <xdr:rowOff>0</xdr:rowOff>
        </xdr:to>
        <xdr:sp macro="" textlink="">
          <xdr:nvSpPr>
            <xdr:cNvPr id="471198" name="bpmDropDownFLU896" hidden="1">
              <a:extLst>
                <a:ext uri="{63B3BB69-23CF-44E3-9099-C40C66FF867C}">
                  <a14:compatExt spid="_x0000_s471198"/>
                </a:ext>
                <a:ext uri="{FF2B5EF4-FFF2-40B4-BE49-F238E27FC236}">
                  <a16:creationId xmlns:a16="http://schemas.microsoft.com/office/drawing/2014/main" id="{00000000-0008-0000-1F00-00009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0</xdr:rowOff>
        </xdr:from>
        <xdr:to>
          <xdr:col>7</xdr:col>
          <xdr:colOff>0</xdr:colOff>
          <xdr:row>187</xdr:row>
          <xdr:rowOff>0</xdr:rowOff>
        </xdr:to>
        <xdr:sp macro="" textlink="">
          <xdr:nvSpPr>
            <xdr:cNvPr id="471199" name="bpmDropDownFLU897" hidden="1">
              <a:extLst>
                <a:ext uri="{63B3BB69-23CF-44E3-9099-C40C66FF867C}">
                  <a14:compatExt spid="_x0000_s471199"/>
                </a:ext>
                <a:ext uri="{FF2B5EF4-FFF2-40B4-BE49-F238E27FC236}">
                  <a16:creationId xmlns:a16="http://schemas.microsoft.com/office/drawing/2014/main" id="{00000000-0008-0000-1F00-00009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7</xdr:col>
          <xdr:colOff>0</xdr:colOff>
          <xdr:row>188</xdr:row>
          <xdr:rowOff>0</xdr:rowOff>
        </xdr:to>
        <xdr:sp macro="" textlink="">
          <xdr:nvSpPr>
            <xdr:cNvPr id="471200" name="bpmDropDownFLU898" hidden="1">
              <a:extLst>
                <a:ext uri="{63B3BB69-23CF-44E3-9099-C40C66FF867C}">
                  <a14:compatExt spid="_x0000_s471200"/>
                </a:ext>
                <a:ext uri="{FF2B5EF4-FFF2-40B4-BE49-F238E27FC236}">
                  <a16:creationId xmlns:a16="http://schemas.microsoft.com/office/drawing/2014/main" id="{00000000-0008-0000-1F00-0000A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7</xdr:col>
          <xdr:colOff>0</xdr:colOff>
          <xdr:row>193</xdr:row>
          <xdr:rowOff>0</xdr:rowOff>
        </xdr:to>
        <xdr:sp macro="" textlink="">
          <xdr:nvSpPr>
            <xdr:cNvPr id="471201" name="bpmDropDownFLU899" hidden="1">
              <a:extLst>
                <a:ext uri="{63B3BB69-23CF-44E3-9099-C40C66FF867C}">
                  <a14:compatExt spid="_x0000_s471201"/>
                </a:ext>
                <a:ext uri="{FF2B5EF4-FFF2-40B4-BE49-F238E27FC236}">
                  <a16:creationId xmlns:a16="http://schemas.microsoft.com/office/drawing/2014/main" id="{00000000-0008-0000-1F00-0000A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0</xdr:rowOff>
        </xdr:from>
        <xdr:to>
          <xdr:col>7</xdr:col>
          <xdr:colOff>0</xdr:colOff>
          <xdr:row>194</xdr:row>
          <xdr:rowOff>0</xdr:rowOff>
        </xdr:to>
        <xdr:sp macro="" textlink="">
          <xdr:nvSpPr>
            <xdr:cNvPr id="471202" name="bpmDropDownFLU900" hidden="1">
              <a:extLst>
                <a:ext uri="{63B3BB69-23CF-44E3-9099-C40C66FF867C}">
                  <a14:compatExt spid="_x0000_s471202"/>
                </a:ext>
                <a:ext uri="{FF2B5EF4-FFF2-40B4-BE49-F238E27FC236}">
                  <a16:creationId xmlns:a16="http://schemas.microsoft.com/office/drawing/2014/main" id="{00000000-0008-0000-1F00-0000A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7</xdr:col>
          <xdr:colOff>0</xdr:colOff>
          <xdr:row>195</xdr:row>
          <xdr:rowOff>0</xdr:rowOff>
        </xdr:to>
        <xdr:sp macro="" textlink="">
          <xdr:nvSpPr>
            <xdr:cNvPr id="471203" name="bpmDropDownFLU901" hidden="1">
              <a:extLst>
                <a:ext uri="{63B3BB69-23CF-44E3-9099-C40C66FF867C}">
                  <a14:compatExt spid="_x0000_s471203"/>
                </a:ext>
                <a:ext uri="{FF2B5EF4-FFF2-40B4-BE49-F238E27FC236}">
                  <a16:creationId xmlns:a16="http://schemas.microsoft.com/office/drawing/2014/main" id="{00000000-0008-0000-1F00-0000A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7</xdr:col>
          <xdr:colOff>0</xdr:colOff>
          <xdr:row>196</xdr:row>
          <xdr:rowOff>0</xdr:rowOff>
        </xdr:to>
        <xdr:sp macro="" textlink="">
          <xdr:nvSpPr>
            <xdr:cNvPr id="471204" name="bpmDropDownFLU902" hidden="1">
              <a:extLst>
                <a:ext uri="{63B3BB69-23CF-44E3-9099-C40C66FF867C}">
                  <a14:compatExt spid="_x0000_s471204"/>
                </a:ext>
                <a:ext uri="{FF2B5EF4-FFF2-40B4-BE49-F238E27FC236}">
                  <a16:creationId xmlns:a16="http://schemas.microsoft.com/office/drawing/2014/main" id="{00000000-0008-0000-1F00-0000A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0</xdr:rowOff>
        </xdr:from>
        <xdr:to>
          <xdr:col>7</xdr:col>
          <xdr:colOff>0</xdr:colOff>
          <xdr:row>197</xdr:row>
          <xdr:rowOff>0</xdr:rowOff>
        </xdr:to>
        <xdr:sp macro="" textlink="">
          <xdr:nvSpPr>
            <xdr:cNvPr id="471205" name="bpmDropDownFLU903" hidden="1">
              <a:extLst>
                <a:ext uri="{63B3BB69-23CF-44E3-9099-C40C66FF867C}">
                  <a14:compatExt spid="_x0000_s471205"/>
                </a:ext>
                <a:ext uri="{FF2B5EF4-FFF2-40B4-BE49-F238E27FC236}">
                  <a16:creationId xmlns:a16="http://schemas.microsoft.com/office/drawing/2014/main" id="{00000000-0008-0000-1F00-0000A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197</xdr:row>
          <xdr:rowOff>0</xdr:rowOff>
        </xdr:from>
        <xdr:to>
          <xdr:col>7</xdr:col>
          <xdr:colOff>0</xdr:colOff>
          <xdr:row>198</xdr:row>
          <xdr:rowOff>0</xdr:rowOff>
        </xdr:to>
        <xdr:sp macro="" textlink="">
          <xdr:nvSpPr>
            <xdr:cNvPr id="471206" name="bpmDropDownFLU904" hidden="1">
              <a:extLst>
                <a:ext uri="{63B3BB69-23CF-44E3-9099-C40C66FF867C}">
                  <a14:compatExt spid="_x0000_s471206"/>
                </a:ext>
                <a:ext uri="{FF2B5EF4-FFF2-40B4-BE49-F238E27FC236}">
                  <a16:creationId xmlns:a16="http://schemas.microsoft.com/office/drawing/2014/main" id="{00000000-0008-0000-1F00-0000A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198</xdr:row>
          <xdr:rowOff>0</xdr:rowOff>
        </xdr:from>
        <xdr:to>
          <xdr:col>7</xdr:col>
          <xdr:colOff>0</xdr:colOff>
          <xdr:row>199</xdr:row>
          <xdr:rowOff>0</xdr:rowOff>
        </xdr:to>
        <xdr:sp macro="" textlink="">
          <xdr:nvSpPr>
            <xdr:cNvPr id="471207" name="bpmDropDownFLU905" hidden="1">
              <a:extLst>
                <a:ext uri="{63B3BB69-23CF-44E3-9099-C40C66FF867C}">
                  <a14:compatExt spid="_x0000_s471207"/>
                </a:ext>
                <a:ext uri="{FF2B5EF4-FFF2-40B4-BE49-F238E27FC236}">
                  <a16:creationId xmlns:a16="http://schemas.microsoft.com/office/drawing/2014/main" id="{00000000-0008-0000-1F00-0000A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7</xdr:col>
          <xdr:colOff>0</xdr:colOff>
          <xdr:row>200</xdr:row>
          <xdr:rowOff>0</xdr:rowOff>
        </xdr:to>
        <xdr:sp macro="" textlink="">
          <xdr:nvSpPr>
            <xdr:cNvPr id="471208" name="bpmDropDownFLU906" hidden="1">
              <a:extLst>
                <a:ext uri="{63B3BB69-23CF-44E3-9099-C40C66FF867C}">
                  <a14:compatExt spid="_x0000_s471208"/>
                </a:ext>
                <a:ext uri="{FF2B5EF4-FFF2-40B4-BE49-F238E27FC236}">
                  <a16:creationId xmlns:a16="http://schemas.microsoft.com/office/drawing/2014/main" id="{00000000-0008-0000-1F00-0000A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7</xdr:col>
          <xdr:colOff>0</xdr:colOff>
          <xdr:row>201</xdr:row>
          <xdr:rowOff>0</xdr:rowOff>
        </xdr:to>
        <xdr:sp macro="" textlink="">
          <xdr:nvSpPr>
            <xdr:cNvPr id="471209" name="bpmDropDownFLU907" hidden="1">
              <a:extLst>
                <a:ext uri="{63B3BB69-23CF-44E3-9099-C40C66FF867C}">
                  <a14:compatExt spid="_x0000_s471209"/>
                </a:ext>
                <a:ext uri="{FF2B5EF4-FFF2-40B4-BE49-F238E27FC236}">
                  <a16:creationId xmlns:a16="http://schemas.microsoft.com/office/drawing/2014/main" id="{00000000-0008-0000-1F00-0000A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11</xdr:col>
      <xdr:colOff>161925</xdr:colOff>
      <xdr:row>2</xdr:row>
      <xdr:rowOff>19050</xdr:rowOff>
    </xdr:from>
    <xdr:to>
      <xdr:col>13</xdr:col>
      <xdr:colOff>28575</xdr:colOff>
      <xdr:row>3</xdr:row>
      <xdr:rowOff>133350</xdr:rowOff>
    </xdr:to>
    <xdr:sp macro="" textlink="">
      <xdr:nvSpPr>
        <xdr:cNvPr id="150" name="Auto Shape 1">
          <a:hlinkClick xmlns:r="http://schemas.openxmlformats.org/officeDocument/2006/relationships" r:id="rId1"/>
          <a:extLst>
            <a:ext uri="{FF2B5EF4-FFF2-40B4-BE49-F238E27FC236}">
              <a16:creationId xmlns:a16="http://schemas.microsoft.com/office/drawing/2014/main" id="{00000000-0008-0000-1F00-000096000000}"/>
            </a:ext>
          </a:extLst>
        </xdr:cNvPr>
        <xdr:cNvSpPr/>
      </xdr:nvSpPr>
      <xdr:spPr>
        <a:xfrm>
          <a:off x="7543800" y="523875"/>
          <a:ext cx="1638300" cy="304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COST</a:t>
          </a:r>
          <a:r>
            <a:rPr lang="en-US" sz="1100" baseline="0"/>
            <a:t> INGREDIENTS LIST</a:t>
          </a:r>
          <a:endParaRPr lang="en-US" sz="1100"/>
        </a:p>
      </xdr:txBody>
    </xdr:sp>
    <xdr:clientData/>
  </xdr:twoCellAnchor>
  <xdr:twoCellAnchor editAs="oneCell">
    <xdr:from>
      <xdr:col>0</xdr:col>
      <xdr:colOff>0</xdr:colOff>
      <xdr:row>0</xdr:row>
      <xdr:rowOff>0</xdr:rowOff>
    </xdr:from>
    <xdr:to>
      <xdr:col>1</xdr:col>
      <xdr:colOff>9525</xdr:colOff>
      <xdr:row>1</xdr:row>
      <xdr:rowOff>19050</xdr:rowOff>
    </xdr:to>
    <xdr:pic>
      <xdr:nvPicPr>
        <xdr:cNvPr id="151" name="Picture 1">
          <a:hlinkClick xmlns:r="http://schemas.openxmlformats.org/officeDocument/2006/relationships" r:id="rId2"/>
          <a:extLst>
            <a:ext uri="{FF2B5EF4-FFF2-40B4-BE49-F238E27FC236}">
              <a16:creationId xmlns:a16="http://schemas.microsoft.com/office/drawing/2014/main" id="{00000000-0008-0000-1F00-000097000000}"/>
            </a:ext>
          </a:extLst>
        </xdr:cNvPr>
        <xdr:cNvPicPr>
          <a:picLocks noChangeAspect="1"/>
        </xdr:cNvPicPr>
      </xdr:nvPicPr>
      <xdr:blipFill>
        <a:blip xmlns:r="http://schemas.openxmlformats.org/officeDocument/2006/relationships" r:embed="rId3"/>
        <a:stretch>
          <a:fillRect/>
        </a:stretch>
      </xdr:blipFill>
      <xdr:spPr>
        <a:xfrm>
          <a:off x="0" y="0"/>
          <a:ext cx="285750" cy="285750"/>
        </a:xfrm>
        <a:prstGeom prst="rect">
          <a:avLst/>
        </a:prstGeom>
      </xdr:spPr>
    </xdr:pic>
    <xdr:clientData/>
  </xdr:twoCellAnchor>
  <xdr:twoCellAnchor>
    <xdr:from>
      <xdr:col>7</xdr:col>
      <xdr:colOff>1114425</xdr:colOff>
      <xdr:row>2</xdr:row>
      <xdr:rowOff>9525</xdr:rowOff>
    </xdr:from>
    <xdr:to>
      <xdr:col>10</xdr:col>
      <xdr:colOff>723900</xdr:colOff>
      <xdr:row>3</xdr:row>
      <xdr:rowOff>142875</xdr:rowOff>
    </xdr:to>
    <xdr:sp macro="" textlink="">
      <xdr:nvSpPr>
        <xdr:cNvPr id="152" name="Auto Shape 2">
          <a:hlinkClick xmlns:r="http://schemas.openxmlformats.org/officeDocument/2006/relationships" r:id="rId4"/>
          <a:extLst>
            <a:ext uri="{FF2B5EF4-FFF2-40B4-BE49-F238E27FC236}">
              <a16:creationId xmlns:a16="http://schemas.microsoft.com/office/drawing/2014/main" id="{00000000-0008-0000-1F00-000098000000}"/>
            </a:ext>
          </a:extLst>
        </xdr:cNvPr>
        <xdr:cNvSpPr/>
      </xdr:nvSpPr>
      <xdr:spPr>
        <a:xfrm>
          <a:off x="4267200" y="514350"/>
          <a:ext cx="2952750" cy="323850"/>
        </a:xfrm>
        <a:prstGeom prst="snip1Rect">
          <a:avLst/>
        </a:prstGeom>
        <a:solidFill>
          <a:srgbClr val="7030A0"/>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OTHER</a:t>
          </a:r>
        </a:p>
      </xdr:txBody>
    </xdr:sp>
    <xdr:clientData/>
  </xdr:twoCellAnchor>
  <xdr:twoCellAnchor editAs="oneCell">
    <xdr:from>
      <xdr:col>10</xdr:col>
      <xdr:colOff>552450</xdr:colOff>
      <xdr:row>0</xdr:row>
      <xdr:rowOff>47625</xdr:rowOff>
    </xdr:from>
    <xdr:to>
      <xdr:col>11</xdr:col>
      <xdr:colOff>142815</xdr:colOff>
      <xdr:row>2</xdr:row>
      <xdr:rowOff>18990</xdr:rowOff>
    </xdr:to>
    <xdr:pic>
      <xdr:nvPicPr>
        <xdr:cNvPr id="153" name="Picture 2">
          <a:extLst>
            <a:ext uri="{FF2B5EF4-FFF2-40B4-BE49-F238E27FC236}">
              <a16:creationId xmlns:a16="http://schemas.microsoft.com/office/drawing/2014/main" id="{00000000-0008-0000-1F00-000099000000}"/>
            </a:ext>
          </a:extLst>
        </xdr:cNvPr>
        <xdr:cNvPicPr>
          <a:picLocks noChangeAspect="1"/>
        </xdr:cNvPicPr>
      </xdr:nvPicPr>
      <xdr:blipFill>
        <a:blip xmlns:r="http://schemas.openxmlformats.org/officeDocument/2006/relationships" r:embed="rId5"/>
        <a:stretch>
          <a:fillRect/>
        </a:stretch>
      </xdr:blipFill>
      <xdr:spPr>
        <a:xfrm>
          <a:off x="7048500" y="47625"/>
          <a:ext cx="476190" cy="4761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7</xdr:col>
          <xdr:colOff>0</xdr:colOff>
          <xdr:row>212</xdr:row>
          <xdr:rowOff>0</xdr:rowOff>
        </xdr:to>
        <xdr:sp macro="" textlink="">
          <xdr:nvSpPr>
            <xdr:cNvPr id="471210" name="bpmDropDownFLU151" hidden="1">
              <a:extLst>
                <a:ext uri="{63B3BB69-23CF-44E3-9099-C40C66FF867C}">
                  <a14:compatExt spid="_x0000_s471210"/>
                </a:ext>
                <a:ext uri="{FF2B5EF4-FFF2-40B4-BE49-F238E27FC236}">
                  <a16:creationId xmlns:a16="http://schemas.microsoft.com/office/drawing/2014/main" id="{00000000-0008-0000-1F00-0000A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0</xdr:rowOff>
        </xdr:from>
        <xdr:to>
          <xdr:col>7</xdr:col>
          <xdr:colOff>0</xdr:colOff>
          <xdr:row>213</xdr:row>
          <xdr:rowOff>0</xdr:rowOff>
        </xdr:to>
        <xdr:sp macro="" textlink="">
          <xdr:nvSpPr>
            <xdr:cNvPr id="471211" name="bpmDropDownFLU203" hidden="1">
              <a:extLst>
                <a:ext uri="{63B3BB69-23CF-44E3-9099-C40C66FF867C}">
                  <a14:compatExt spid="_x0000_s471211"/>
                </a:ext>
                <a:ext uri="{FF2B5EF4-FFF2-40B4-BE49-F238E27FC236}">
                  <a16:creationId xmlns:a16="http://schemas.microsoft.com/office/drawing/2014/main" id="{00000000-0008-0000-1F00-0000A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213</xdr:row>
          <xdr:rowOff>0</xdr:rowOff>
        </xdr:from>
        <xdr:to>
          <xdr:col>7</xdr:col>
          <xdr:colOff>0</xdr:colOff>
          <xdr:row>214</xdr:row>
          <xdr:rowOff>0</xdr:rowOff>
        </xdr:to>
        <xdr:sp macro="" textlink="">
          <xdr:nvSpPr>
            <xdr:cNvPr id="471212" name="bpmDropDownFLU233" hidden="1">
              <a:extLst>
                <a:ext uri="{63B3BB69-23CF-44E3-9099-C40C66FF867C}">
                  <a14:compatExt spid="_x0000_s471212"/>
                </a:ext>
                <a:ext uri="{FF2B5EF4-FFF2-40B4-BE49-F238E27FC236}">
                  <a16:creationId xmlns:a16="http://schemas.microsoft.com/office/drawing/2014/main" id="{00000000-0008-0000-1F00-0000A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7</xdr:col>
          <xdr:colOff>0</xdr:colOff>
          <xdr:row>215</xdr:row>
          <xdr:rowOff>0</xdr:rowOff>
        </xdr:to>
        <xdr:sp macro="" textlink="">
          <xdr:nvSpPr>
            <xdr:cNvPr id="471213" name="bpmDropDownFLU263" hidden="1">
              <a:extLst>
                <a:ext uri="{63B3BB69-23CF-44E3-9099-C40C66FF867C}">
                  <a14:compatExt spid="_x0000_s471213"/>
                </a:ext>
                <a:ext uri="{FF2B5EF4-FFF2-40B4-BE49-F238E27FC236}">
                  <a16:creationId xmlns:a16="http://schemas.microsoft.com/office/drawing/2014/main" id="{00000000-0008-0000-1F00-0000A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7</xdr:col>
          <xdr:colOff>0</xdr:colOff>
          <xdr:row>216</xdr:row>
          <xdr:rowOff>0</xdr:rowOff>
        </xdr:to>
        <xdr:sp macro="" textlink="">
          <xdr:nvSpPr>
            <xdr:cNvPr id="471214" name="bpmDropDownFLU275" hidden="1">
              <a:extLst>
                <a:ext uri="{63B3BB69-23CF-44E3-9099-C40C66FF867C}">
                  <a14:compatExt spid="_x0000_s471214"/>
                </a:ext>
                <a:ext uri="{FF2B5EF4-FFF2-40B4-BE49-F238E27FC236}">
                  <a16:creationId xmlns:a16="http://schemas.microsoft.com/office/drawing/2014/main" id="{00000000-0008-0000-1F00-0000A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7</xdr:col>
          <xdr:colOff>0</xdr:colOff>
          <xdr:row>217</xdr:row>
          <xdr:rowOff>0</xdr:rowOff>
        </xdr:to>
        <xdr:sp macro="" textlink="">
          <xdr:nvSpPr>
            <xdr:cNvPr id="471215" name="bpmDropDownFLU276" hidden="1">
              <a:extLst>
                <a:ext uri="{63B3BB69-23CF-44E3-9099-C40C66FF867C}">
                  <a14:compatExt spid="_x0000_s471215"/>
                </a:ext>
                <a:ext uri="{FF2B5EF4-FFF2-40B4-BE49-F238E27FC236}">
                  <a16:creationId xmlns:a16="http://schemas.microsoft.com/office/drawing/2014/main" id="{00000000-0008-0000-1F00-0000A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471216" name="bpmDropDownFLU277" hidden="1">
              <a:extLst>
                <a:ext uri="{63B3BB69-23CF-44E3-9099-C40C66FF867C}">
                  <a14:compatExt spid="_x0000_s471216"/>
                </a:ext>
                <a:ext uri="{FF2B5EF4-FFF2-40B4-BE49-F238E27FC236}">
                  <a16:creationId xmlns:a16="http://schemas.microsoft.com/office/drawing/2014/main" id="{00000000-0008-0000-1F00-0000B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0</xdr:colOff>
          <xdr:row>82</xdr:row>
          <xdr:rowOff>0</xdr:rowOff>
        </xdr:to>
        <xdr:sp macro="" textlink="">
          <xdr:nvSpPr>
            <xdr:cNvPr id="471217" name="bpmDropDownFLU278" hidden="1">
              <a:extLst>
                <a:ext uri="{63B3BB69-23CF-44E3-9099-C40C66FF867C}">
                  <a14:compatExt spid="_x0000_s471217"/>
                </a:ext>
                <a:ext uri="{FF2B5EF4-FFF2-40B4-BE49-F238E27FC236}">
                  <a16:creationId xmlns:a16="http://schemas.microsoft.com/office/drawing/2014/main" id="{00000000-0008-0000-1F00-0000B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9</xdr:col>
          <xdr:colOff>0</xdr:colOff>
          <xdr:row>83</xdr:row>
          <xdr:rowOff>0</xdr:rowOff>
        </xdr:to>
        <xdr:sp macro="" textlink="">
          <xdr:nvSpPr>
            <xdr:cNvPr id="471218" name="bpmDropDownFLU279" hidden="1">
              <a:extLst>
                <a:ext uri="{63B3BB69-23CF-44E3-9099-C40C66FF867C}">
                  <a14:compatExt spid="_x0000_s471218"/>
                </a:ext>
                <a:ext uri="{FF2B5EF4-FFF2-40B4-BE49-F238E27FC236}">
                  <a16:creationId xmlns:a16="http://schemas.microsoft.com/office/drawing/2014/main" id="{00000000-0008-0000-1F00-0000B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9</xdr:col>
          <xdr:colOff>0</xdr:colOff>
          <xdr:row>84</xdr:row>
          <xdr:rowOff>0</xdr:rowOff>
        </xdr:to>
        <xdr:sp macro="" textlink="">
          <xdr:nvSpPr>
            <xdr:cNvPr id="471219" name="bpmDropDownFLU280" hidden="1">
              <a:extLst>
                <a:ext uri="{63B3BB69-23CF-44E3-9099-C40C66FF867C}">
                  <a14:compatExt spid="_x0000_s471219"/>
                </a:ext>
                <a:ext uri="{FF2B5EF4-FFF2-40B4-BE49-F238E27FC236}">
                  <a16:creationId xmlns:a16="http://schemas.microsoft.com/office/drawing/2014/main" id="{00000000-0008-0000-1F00-0000B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9</xdr:col>
          <xdr:colOff>0</xdr:colOff>
          <xdr:row>85</xdr:row>
          <xdr:rowOff>0</xdr:rowOff>
        </xdr:to>
        <xdr:sp macro="" textlink="">
          <xdr:nvSpPr>
            <xdr:cNvPr id="471220" name="bpmDropDownFLU281" hidden="1">
              <a:extLst>
                <a:ext uri="{63B3BB69-23CF-44E3-9099-C40C66FF867C}">
                  <a14:compatExt spid="_x0000_s471220"/>
                </a:ext>
                <a:ext uri="{FF2B5EF4-FFF2-40B4-BE49-F238E27FC236}">
                  <a16:creationId xmlns:a16="http://schemas.microsoft.com/office/drawing/2014/main" id="{00000000-0008-0000-1F00-0000B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9</xdr:col>
          <xdr:colOff>0</xdr:colOff>
          <xdr:row>86</xdr:row>
          <xdr:rowOff>0</xdr:rowOff>
        </xdr:to>
        <xdr:sp macro="" textlink="">
          <xdr:nvSpPr>
            <xdr:cNvPr id="471221" name="bpmDropDownFLU282" hidden="1">
              <a:extLst>
                <a:ext uri="{63B3BB69-23CF-44E3-9099-C40C66FF867C}">
                  <a14:compatExt spid="_x0000_s471221"/>
                </a:ext>
                <a:ext uri="{FF2B5EF4-FFF2-40B4-BE49-F238E27FC236}">
                  <a16:creationId xmlns:a16="http://schemas.microsoft.com/office/drawing/2014/main" id="{00000000-0008-0000-1F00-0000B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87</xdr:row>
          <xdr:rowOff>0</xdr:rowOff>
        </xdr:to>
        <xdr:sp macro="" textlink="">
          <xdr:nvSpPr>
            <xdr:cNvPr id="471222" name="bpmDropDownFLU296" hidden="1">
              <a:extLst>
                <a:ext uri="{63B3BB69-23CF-44E3-9099-C40C66FF867C}">
                  <a14:compatExt spid="_x0000_s471222"/>
                </a:ext>
                <a:ext uri="{FF2B5EF4-FFF2-40B4-BE49-F238E27FC236}">
                  <a16:creationId xmlns:a16="http://schemas.microsoft.com/office/drawing/2014/main" id="{00000000-0008-0000-1F00-0000B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9</xdr:col>
          <xdr:colOff>0</xdr:colOff>
          <xdr:row>88</xdr:row>
          <xdr:rowOff>0</xdr:rowOff>
        </xdr:to>
        <xdr:sp macro="" textlink="">
          <xdr:nvSpPr>
            <xdr:cNvPr id="471223" name="bpmDropDownFLU297" hidden="1">
              <a:extLst>
                <a:ext uri="{63B3BB69-23CF-44E3-9099-C40C66FF867C}">
                  <a14:compatExt spid="_x0000_s471223"/>
                </a:ext>
                <a:ext uri="{FF2B5EF4-FFF2-40B4-BE49-F238E27FC236}">
                  <a16:creationId xmlns:a16="http://schemas.microsoft.com/office/drawing/2014/main" id="{00000000-0008-0000-1F00-0000B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9</xdr:col>
          <xdr:colOff>0</xdr:colOff>
          <xdr:row>89</xdr:row>
          <xdr:rowOff>0</xdr:rowOff>
        </xdr:to>
        <xdr:sp macro="" textlink="">
          <xdr:nvSpPr>
            <xdr:cNvPr id="471224" name="bpmDropDownFLU298" hidden="1">
              <a:extLst>
                <a:ext uri="{63B3BB69-23CF-44E3-9099-C40C66FF867C}">
                  <a14:compatExt spid="_x0000_s471224"/>
                </a:ext>
                <a:ext uri="{FF2B5EF4-FFF2-40B4-BE49-F238E27FC236}">
                  <a16:creationId xmlns:a16="http://schemas.microsoft.com/office/drawing/2014/main" id="{00000000-0008-0000-1F00-0000B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0</xdr:rowOff>
        </xdr:from>
        <xdr:to>
          <xdr:col>9</xdr:col>
          <xdr:colOff>0</xdr:colOff>
          <xdr:row>90</xdr:row>
          <xdr:rowOff>0</xdr:rowOff>
        </xdr:to>
        <xdr:sp macro="" textlink="">
          <xdr:nvSpPr>
            <xdr:cNvPr id="471225" name="bpmDropDownFLU299" hidden="1">
              <a:extLst>
                <a:ext uri="{63B3BB69-23CF-44E3-9099-C40C66FF867C}">
                  <a14:compatExt spid="_x0000_s471225"/>
                </a:ext>
                <a:ext uri="{FF2B5EF4-FFF2-40B4-BE49-F238E27FC236}">
                  <a16:creationId xmlns:a16="http://schemas.microsoft.com/office/drawing/2014/main" id="{00000000-0008-0000-1F00-0000B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0</xdr:rowOff>
        </xdr:to>
        <xdr:sp macro="" textlink="">
          <xdr:nvSpPr>
            <xdr:cNvPr id="471226" name="bpmDropDownFLU300" hidden="1">
              <a:extLst>
                <a:ext uri="{63B3BB69-23CF-44E3-9099-C40C66FF867C}">
                  <a14:compatExt spid="_x0000_s471226"/>
                </a:ext>
                <a:ext uri="{FF2B5EF4-FFF2-40B4-BE49-F238E27FC236}">
                  <a16:creationId xmlns:a16="http://schemas.microsoft.com/office/drawing/2014/main" id="{00000000-0008-0000-1F00-0000B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471227" name="bpmDropDownFLU301" hidden="1">
              <a:extLst>
                <a:ext uri="{63B3BB69-23CF-44E3-9099-C40C66FF867C}">
                  <a14:compatExt spid="_x0000_s471227"/>
                </a:ext>
                <a:ext uri="{FF2B5EF4-FFF2-40B4-BE49-F238E27FC236}">
                  <a16:creationId xmlns:a16="http://schemas.microsoft.com/office/drawing/2014/main" id="{00000000-0008-0000-1F00-0000B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0</xdr:rowOff>
        </xdr:to>
        <xdr:sp macro="" textlink="">
          <xdr:nvSpPr>
            <xdr:cNvPr id="471228" name="bpmDropDownFLU302" hidden="1">
              <a:extLst>
                <a:ext uri="{63B3BB69-23CF-44E3-9099-C40C66FF867C}">
                  <a14:compatExt spid="_x0000_s471228"/>
                </a:ext>
                <a:ext uri="{FF2B5EF4-FFF2-40B4-BE49-F238E27FC236}">
                  <a16:creationId xmlns:a16="http://schemas.microsoft.com/office/drawing/2014/main" id="{00000000-0008-0000-1F00-0000B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0</xdr:rowOff>
        </xdr:to>
        <xdr:sp macro="" textlink="">
          <xdr:nvSpPr>
            <xdr:cNvPr id="471229" name="bpmDropDownFLU303" hidden="1">
              <a:extLst>
                <a:ext uri="{63B3BB69-23CF-44E3-9099-C40C66FF867C}">
                  <a14:compatExt spid="_x0000_s471229"/>
                </a:ext>
                <a:ext uri="{FF2B5EF4-FFF2-40B4-BE49-F238E27FC236}">
                  <a16:creationId xmlns:a16="http://schemas.microsoft.com/office/drawing/2014/main" id="{00000000-0008-0000-1F00-0000B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9</xdr:col>
          <xdr:colOff>0</xdr:colOff>
          <xdr:row>95</xdr:row>
          <xdr:rowOff>0</xdr:rowOff>
        </xdr:to>
        <xdr:sp macro="" textlink="">
          <xdr:nvSpPr>
            <xdr:cNvPr id="471230" name="bpmDropDownFLU312" hidden="1">
              <a:extLst>
                <a:ext uri="{63B3BB69-23CF-44E3-9099-C40C66FF867C}">
                  <a14:compatExt spid="_x0000_s471230"/>
                </a:ext>
                <a:ext uri="{FF2B5EF4-FFF2-40B4-BE49-F238E27FC236}">
                  <a16:creationId xmlns:a16="http://schemas.microsoft.com/office/drawing/2014/main" id="{00000000-0008-0000-1F00-0000B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146</xdr:row>
          <xdr:rowOff>0</xdr:rowOff>
        </xdr:from>
        <xdr:to>
          <xdr:col>9</xdr:col>
          <xdr:colOff>0</xdr:colOff>
          <xdr:row>147</xdr:row>
          <xdr:rowOff>0</xdr:rowOff>
        </xdr:to>
        <xdr:sp macro="" textlink="">
          <xdr:nvSpPr>
            <xdr:cNvPr id="471231" name="bpmDropDownFLU328" hidden="1">
              <a:extLst>
                <a:ext uri="{63B3BB69-23CF-44E3-9099-C40C66FF867C}">
                  <a14:compatExt spid="_x0000_s471231"/>
                </a:ext>
                <a:ext uri="{FF2B5EF4-FFF2-40B4-BE49-F238E27FC236}">
                  <a16:creationId xmlns:a16="http://schemas.microsoft.com/office/drawing/2014/main" id="{00000000-0008-0000-1F00-0000B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147</xdr:row>
          <xdr:rowOff>0</xdr:rowOff>
        </xdr:from>
        <xdr:to>
          <xdr:col>9</xdr:col>
          <xdr:colOff>0</xdr:colOff>
          <xdr:row>148</xdr:row>
          <xdr:rowOff>0</xdr:rowOff>
        </xdr:to>
        <xdr:sp macro="" textlink="">
          <xdr:nvSpPr>
            <xdr:cNvPr id="471232" name="bpmDropDownFLU362" hidden="1">
              <a:extLst>
                <a:ext uri="{63B3BB69-23CF-44E3-9099-C40C66FF867C}">
                  <a14:compatExt spid="_x0000_s471232"/>
                </a:ext>
                <a:ext uri="{FF2B5EF4-FFF2-40B4-BE49-F238E27FC236}">
                  <a16:creationId xmlns:a16="http://schemas.microsoft.com/office/drawing/2014/main" id="{00000000-0008-0000-1F00-0000C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0</xdr:rowOff>
        </xdr:from>
        <xdr:to>
          <xdr:col>9</xdr:col>
          <xdr:colOff>0</xdr:colOff>
          <xdr:row>149</xdr:row>
          <xdr:rowOff>0</xdr:rowOff>
        </xdr:to>
        <xdr:sp macro="" textlink="">
          <xdr:nvSpPr>
            <xdr:cNvPr id="471233" name="bpmDropDownFLU377" hidden="1">
              <a:extLst>
                <a:ext uri="{63B3BB69-23CF-44E3-9099-C40C66FF867C}">
                  <a14:compatExt spid="_x0000_s471233"/>
                </a:ext>
                <a:ext uri="{FF2B5EF4-FFF2-40B4-BE49-F238E27FC236}">
                  <a16:creationId xmlns:a16="http://schemas.microsoft.com/office/drawing/2014/main" id="{00000000-0008-0000-1F00-0000C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0</xdr:rowOff>
        </xdr:from>
        <xdr:to>
          <xdr:col>9</xdr:col>
          <xdr:colOff>0</xdr:colOff>
          <xdr:row>150</xdr:row>
          <xdr:rowOff>0</xdr:rowOff>
        </xdr:to>
        <xdr:sp macro="" textlink="">
          <xdr:nvSpPr>
            <xdr:cNvPr id="471234" name="bpmDropDownFLU385" hidden="1">
              <a:extLst>
                <a:ext uri="{63B3BB69-23CF-44E3-9099-C40C66FF867C}">
                  <a14:compatExt spid="_x0000_s471234"/>
                </a:ext>
                <a:ext uri="{FF2B5EF4-FFF2-40B4-BE49-F238E27FC236}">
                  <a16:creationId xmlns:a16="http://schemas.microsoft.com/office/drawing/2014/main" id="{00000000-0008-0000-1F00-0000C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150</xdr:row>
          <xdr:rowOff>0</xdr:rowOff>
        </xdr:from>
        <xdr:to>
          <xdr:col>9</xdr:col>
          <xdr:colOff>0</xdr:colOff>
          <xdr:row>151</xdr:row>
          <xdr:rowOff>0</xdr:rowOff>
        </xdr:to>
        <xdr:sp macro="" textlink="">
          <xdr:nvSpPr>
            <xdr:cNvPr id="471235" name="bpmDropDownFLU436" hidden="1">
              <a:extLst>
                <a:ext uri="{63B3BB69-23CF-44E3-9099-C40C66FF867C}">
                  <a14:compatExt spid="_x0000_s471235"/>
                </a:ext>
                <a:ext uri="{FF2B5EF4-FFF2-40B4-BE49-F238E27FC236}">
                  <a16:creationId xmlns:a16="http://schemas.microsoft.com/office/drawing/2014/main" id="{00000000-0008-0000-1F00-0000C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151</xdr:row>
          <xdr:rowOff>0</xdr:rowOff>
        </xdr:from>
        <xdr:to>
          <xdr:col>9</xdr:col>
          <xdr:colOff>0</xdr:colOff>
          <xdr:row>152</xdr:row>
          <xdr:rowOff>0</xdr:rowOff>
        </xdr:to>
        <xdr:sp macro="" textlink="">
          <xdr:nvSpPr>
            <xdr:cNvPr id="471236" name="bpmDropDownFLU452" hidden="1">
              <a:extLst>
                <a:ext uri="{63B3BB69-23CF-44E3-9099-C40C66FF867C}">
                  <a14:compatExt spid="_x0000_s471236"/>
                </a:ext>
                <a:ext uri="{FF2B5EF4-FFF2-40B4-BE49-F238E27FC236}">
                  <a16:creationId xmlns:a16="http://schemas.microsoft.com/office/drawing/2014/main" id="{00000000-0008-0000-1F00-0000C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152</xdr:row>
          <xdr:rowOff>0</xdr:rowOff>
        </xdr:from>
        <xdr:to>
          <xdr:col>9</xdr:col>
          <xdr:colOff>0</xdr:colOff>
          <xdr:row>153</xdr:row>
          <xdr:rowOff>0</xdr:rowOff>
        </xdr:to>
        <xdr:sp macro="" textlink="">
          <xdr:nvSpPr>
            <xdr:cNvPr id="471237" name="bpmDropDownFLU468" hidden="1">
              <a:extLst>
                <a:ext uri="{63B3BB69-23CF-44E3-9099-C40C66FF867C}">
                  <a14:compatExt spid="_x0000_s471237"/>
                </a:ext>
                <a:ext uri="{FF2B5EF4-FFF2-40B4-BE49-F238E27FC236}">
                  <a16:creationId xmlns:a16="http://schemas.microsoft.com/office/drawing/2014/main" id="{00000000-0008-0000-1F00-0000C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153</xdr:row>
          <xdr:rowOff>0</xdr:rowOff>
        </xdr:from>
        <xdr:to>
          <xdr:col>9</xdr:col>
          <xdr:colOff>0</xdr:colOff>
          <xdr:row>154</xdr:row>
          <xdr:rowOff>0</xdr:rowOff>
        </xdr:to>
        <xdr:sp macro="" textlink="">
          <xdr:nvSpPr>
            <xdr:cNvPr id="471238" name="bpmDropDownFLU485" hidden="1">
              <a:extLst>
                <a:ext uri="{63B3BB69-23CF-44E3-9099-C40C66FF867C}">
                  <a14:compatExt spid="_x0000_s471238"/>
                </a:ext>
                <a:ext uri="{FF2B5EF4-FFF2-40B4-BE49-F238E27FC236}">
                  <a16:creationId xmlns:a16="http://schemas.microsoft.com/office/drawing/2014/main" id="{00000000-0008-0000-1F00-0000C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154</xdr:row>
          <xdr:rowOff>0</xdr:rowOff>
        </xdr:from>
        <xdr:to>
          <xdr:col>9</xdr:col>
          <xdr:colOff>0</xdr:colOff>
          <xdr:row>155</xdr:row>
          <xdr:rowOff>0</xdr:rowOff>
        </xdr:to>
        <xdr:sp macro="" textlink="">
          <xdr:nvSpPr>
            <xdr:cNvPr id="471239" name="bpmDropDownFLU502" hidden="1">
              <a:extLst>
                <a:ext uri="{63B3BB69-23CF-44E3-9099-C40C66FF867C}">
                  <a14:compatExt spid="_x0000_s471239"/>
                </a:ext>
                <a:ext uri="{FF2B5EF4-FFF2-40B4-BE49-F238E27FC236}">
                  <a16:creationId xmlns:a16="http://schemas.microsoft.com/office/drawing/2014/main" id="{00000000-0008-0000-1F00-0000C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155</xdr:row>
          <xdr:rowOff>0</xdr:rowOff>
        </xdr:from>
        <xdr:to>
          <xdr:col>9</xdr:col>
          <xdr:colOff>0</xdr:colOff>
          <xdr:row>156</xdr:row>
          <xdr:rowOff>0</xdr:rowOff>
        </xdr:to>
        <xdr:sp macro="" textlink="">
          <xdr:nvSpPr>
            <xdr:cNvPr id="471240" name="bpmDropDownFLU505" hidden="1">
              <a:extLst>
                <a:ext uri="{63B3BB69-23CF-44E3-9099-C40C66FF867C}">
                  <a14:compatExt spid="_x0000_s471240"/>
                </a:ext>
                <a:ext uri="{FF2B5EF4-FFF2-40B4-BE49-F238E27FC236}">
                  <a16:creationId xmlns:a16="http://schemas.microsoft.com/office/drawing/2014/main" id="{00000000-0008-0000-1F00-0000C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156</xdr:row>
          <xdr:rowOff>0</xdr:rowOff>
        </xdr:from>
        <xdr:to>
          <xdr:col>9</xdr:col>
          <xdr:colOff>0</xdr:colOff>
          <xdr:row>157</xdr:row>
          <xdr:rowOff>0</xdr:rowOff>
        </xdr:to>
        <xdr:sp macro="" textlink="">
          <xdr:nvSpPr>
            <xdr:cNvPr id="471241" name="bpmDropDownFLU526" hidden="1">
              <a:extLst>
                <a:ext uri="{63B3BB69-23CF-44E3-9099-C40C66FF867C}">
                  <a14:compatExt spid="_x0000_s471241"/>
                </a:ext>
                <a:ext uri="{FF2B5EF4-FFF2-40B4-BE49-F238E27FC236}">
                  <a16:creationId xmlns:a16="http://schemas.microsoft.com/office/drawing/2014/main" id="{00000000-0008-0000-1F00-0000C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0</xdr:rowOff>
        </xdr:from>
        <xdr:to>
          <xdr:col>9</xdr:col>
          <xdr:colOff>0</xdr:colOff>
          <xdr:row>158</xdr:row>
          <xdr:rowOff>0</xdr:rowOff>
        </xdr:to>
        <xdr:sp macro="" textlink="">
          <xdr:nvSpPr>
            <xdr:cNvPr id="471242" name="bpmDropDownFLU537" hidden="1">
              <a:extLst>
                <a:ext uri="{63B3BB69-23CF-44E3-9099-C40C66FF867C}">
                  <a14:compatExt spid="_x0000_s471242"/>
                </a:ext>
                <a:ext uri="{FF2B5EF4-FFF2-40B4-BE49-F238E27FC236}">
                  <a16:creationId xmlns:a16="http://schemas.microsoft.com/office/drawing/2014/main" id="{00000000-0008-0000-1F00-0000CA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158</xdr:row>
          <xdr:rowOff>0</xdr:rowOff>
        </xdr:from>
        <xdr:to>
          <xdr:col>9</xdr:col>
          <xdr:colOff>0</xdr:colOff>
          <xdr:row>159</xdr:row>
          <xdr:rowOff>0</xdr:rowOff>
        </xdr:to>
        <xdr:sp macro="" textlink="">
          <xdr:nvSpPr>
            <xdr:cNvPr id="471243" name="bpmDropDownFLU538" hidden="1">
              <a:extLst>
                <a:ext uri="{63B3BB69-23CF-44E3-9099-C40C66FF867C}">
                  <a14:compatExt spid="_x0000_s471243"/>
                </a:ext>
                <a:ext uri="{FF2B5EF4-FFF2-40B4-BE49-F238E27FC236}">
                  <a16:creationId xmlns:a16="http://schemas.microsoft.com/office/drawing/2014/main" id="{00000000-0008-0000-1F00-0000CB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159</xdr:row>
          <xdr:rowOff>0</xdr:rowOff>
        </xdr:from>
        <xdr:to>
          <xdr:col>9</xdr:col>
          <xdr:colOff>0</xdr:colOff>
          <xdr:row>160</xdr:row>
          <xdr:rowOff>0</xdr:rowOff>
        </xdr:to>
        <xdr:sp macro="" textlink="">
          <xdr:nvSpPr>
            <xdr:cNvPr id="471244" name="bpmDropDownFLU559" hidden="1">
              <a:extLst>
                <a:ext uri="{63B3BB69-23CF-44E3-9099-C40C66FF867C}">
                  <a14:compatExt spid="_x0000_s471244"/>
                </a:ext>
                <a:ext uri="{FF2B5EF4-FFF2-40B4-BE49-F238E27FC236}">
                  <a16:creationId xmlns:a16="http://schemas.microsoft.com/office/drawing/2014/main" id="{00000000-0008-0000-1F00-0000CC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160</xdr:row>
          <xdr:rowOff>0</xdr:rowOff>
        </xdr:from>
        <xdr:to>
          <xdr:col>9</xdr:col>
          <xdr:colOff>0</xdr:colOff>
          <xdr:row>161</xdr:row>
          <xdr:rowOff>0</xdr:rowOff>
        </xdr:to>
        <xdr:sp macro="" textlink="">
          <xdr:nvSpPr>
            <xdr:cNvPr id="471245" name="bpmDropDownFLU598" hidden="1">
              <a:extLst>
                <a:ext uri="{63B3BB69-23CF-44E3-9099-C40C66FF867C}">
                  <a14:compatExt spid="_x0000_s471245"/>
                </a:ext>
                <a:ext uri="{FF2B5EF4-FFF2-40B4-BE49-F238E27FC236}">
                  <a16:creationId xmlns:a16="http://schemas.microsoft.com/office/drawing/2014/main" id="{00000000-0008-0000-1F00-0000CD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225</xdr:row>
          <xdr:rowOff>0</xdr:rowOff>
        </xdr:from>
        <xdr:to>
          <xdr:col>7</xdr:col>
          <xdr:colOff>0</xdr:colOff>
          <xdr:row>226</xdr:row>
          <xdr:rowOff>0</xdr:rowOff>
        </xdr:to>
        <xdr:sp macro="" textlink="">
          <xdr:nvSpPr>
            <xdr:cNvPr id="471246" name="bpmDropDownFLU599" hidden="1">
              <a:extLst>
                <a:ext uri="{63B3BB69-23CF-44E3-9099-C40C66FF867C}">
                  <a14:compatExt spid="_x0000_s471246"/>
                </a:ext>
                <a:ext uri="{FF2B5EF4-FFF2-40B4-BE49-F238E27FC236}">
                  <a16:creationId xmlns:a16="http://schemas.microsoft.com/office/drawing/2014/main" id="{00000000-0008-0000-1F00-0000CE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7</xdr:col>
          <xdr:colOff>0</xdr:colOff>
          <xdr:row>227</xdr:row>
          <xdr:rowOff>0</xdr:rowOff>
        </xdr:to>
        <xdr:sp macro="" textlink="">
          <xdr:nvSpPr>
            <xdr:cNvPr id="471247" name="bpmDropDownFLU600" hidden="1">
              <a:extLst>
                <a:ext uri="{63B3BB69-23CF-44E3-9099-C40C66FF867C}">
                  <a14:compatExt spid="_x0000_s471247"/>
                </a:ext>
                <a:ext uri="{FF2B5EF4-FFF2-40B4-BE49-F238E27FC236}">
                  <a16:creationId xmlns:a16="http://schemas.microsoft.com/office/drawing/2014/main" id="{00000000-0008-0000-1F00-0000CF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227</xdr:row>
          <xdr:rowOff>0</xdr:rowOff>
        </xdr:from>
        <xdr:to>
          <xdr:col>7</xdr:col>
          <xdr:colOff>0</xdr:colOff>
          <xdr:row>228</xdr:row>
          <xdr:rowOff>0</xdr:rowOff>
        </xdr:to>
        <xdr:sp macro="" textlink="">
          <xdr:nvSpPr>
            <xdr:cNvPr id="471248" name="bpmDropDownFLU601" hidden="1">
              <a:extLst>
                <a:ext uri="{63B3BB69-23CF-44E3-9099-C40C66FF867C}">
                  <a14:compatExt spid="_x0000_s471248"/>
                </a:ext>
                <a:ext uri="{FF2B5EF4-FFF2-40B4-BE49-F238E27FC236}">
                  <a16:creationId xmlns:a16="http://schemas.microsoft.com/office/drawing/2014/main" id="{00000000-0008-0000-1F00-0000D0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228</xdr:row>
          <xdr:rowOff>0</xdr:rowOff>
        </xdr:from>
        <xdr:to>
          <xdr:col>7</xdr:col>
          <xdr:colOff>0</xdr:colOff>
          <xdr:row>229</xdr:row>
          <xdr:rowOff>0</xdr:rowOff>
        </xdr:to>
        <xdr:sp macro="" textlink="">
          <xdr:nvSpPr>
            <xdr:cNvPr id="471249" name="bpmDropDownFLU602" hidden="1">
              <a:extLst>
                <a:ext uri="{63B3BB69-23CF-44E3-9099-C40C66FF867C}">
                  <a14:compatExt spid="_x0000_s471249"/>
                </a:ext>
                <a:ext uri="{FF2B5EF4-FFF2-40B4-BE49-F238E27FC236}">
                  <a16:creationId xmlns:a16="http://schemas.microsoft.com/office/drawing/2014/main" id="{00000000-0008-0000-1F00-0000D1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7</xdr:col>
          <xdr:colOff>0</xdr:colOff>
          <xdr:row>230</xdr:row>
          <xdr:rowOff>0</xdr:rowOff>
        </xdr:to>
        <xdr:sp macro="" textlink="">
          <xdr:nvSpPr>
            <xdr:cNvPr id="471250" name="bpmDropDownFLU603" hidden="1">
              <a:extLst>
                <a:ext uri="{63B3BB69-23CF-44E3-9099-C40C66FF867C}">
                  <a14:compatExt spid="_x0000_s471250"/>
                </a:ext>
                <a:ext uri="{FF2B5EF4-FFF2-40B4-BE49-F238E27FC236}">
                  <a16:creationId xmlns:a16="http://schemas.microsoft.com/office/drawing/2014/main" id="{00000000-0008-0000-1F00-0000D2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230</xdr:row>
          <xdr:rowOff>0</xdr:rowOff>
        </xdr:from>
        <xdr:to>
          <xdr:col>7</xdr:col>
          <xdr:colOff>0</xdr:colOff>
          <xdr:row>231</xdr:row>
          <xdr:rowOff>0</xdr:rowOff>
        </xdr:to>
        <xdr:sp macro="" textlink="">
          <xdr:nvSpPr>
            <xdr:cNvPr id="471251" name="bpmDropDownFLU604" hidden="1">
              <a:extLst>
                <a:ext uri="{63B3BB69-23CF-44E3-9099-C40C66FF867C}">
                  <a14:compatExt spid="_x0000_s471251"/>
                </a:ext>
                <a:ext uri="{FF2B5EF4-FFF2-40B4-BE49-F238E27FC236}">
                  <a16:creationId xmlns:a16="http://schemas.microsoft.com/office/drawing/2014/main" id="{00000000-0008-0000-1F00-0000D3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0</xdr:rowOff>
        </xdr:from>
        <xdr:to>
          <xdr:col>7</xdr:col>
          <xdr:colOff>0</xdr:colOff>
          <xdr:row>239</xdr:row>
          <xdr:rowOff>0</xdr:rowOff>
        </xdr:to>
        <xdr:sp macro="" textlink="">
          <xdr:nvSpPr>
            <xdr:cNvPr id="471252" name="bpmDropDownFLU605" hidden="1">
              <a:extLst>
                <a:ext uri="{63B3BB69-23CF-44E3-9099-C40C66FF867C}">
                  <a14:compatExt spid="_x0000_s471252"/>
                </a:ext>
                <a:ext uri="{FF2B5EF4-FFF2-40B4-BE49-F238E27FC236}">
                  <a16:creationId xmlns:a16="http://schemas.microsoft.com/office/drawing/2014/main" id="{00000000-0008-0000-1F00-0000D4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239</xdr:row>
          <xdr:rowOff>0</xdr:rowOff>
        </xdr:from>
        <xdr:to>
          <xdr:col>7</xdr:col>
          <xdr:colOff>0</xdr:colOff>
          <xdr:row>240</xdr:row>
          <xdr:rowOff>0</xdr:rowOff>
        </xdr:to>
        <xdr:sp macro="" textlink="">
          <xdr:nvSpPr>
            <xdr:cNvPr id="471253" name="bpmDropDownFLU610" hidden="1">
              <a:extLst>
                <a:ext uri="{63B3BB69-23CF-44E3-9099-C40C66FF867C}">
                  <a14:compatExt spid="_x0000_s471253"/>
                </a:ext>
                <a:ext uri="{FF2B5EF4-FFF2-40B4-BE49-F238E27FC236}">
                  <a16:creationId xmlns:a16="http://schemas.microsoft.com/office/drawing/2014/main" id="{00000000-0008-0000-1F00-0000D5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240</xdr:row>
          <xdr:rowOff>0</xdr:rowOff>
        </xdr:from>
        <xdr:to>
          <xdr:col>7</xdr:col>
          <xdr:colOff>0</xdr:colOff>
          <xdr:row>241</xdr:row>
          <xdr:rowOff>0</xdr:rowOff>
        </xdr:to>
        <xdr:sp macro="" textlink="">
          <xdr:nvSpPr>
            <xdr:cNvPr id="471254" name="bpmDropDownFLU614" hidden="1">
              <a:extLst>
                <a:ext uri="{63B3BB69-23CF-44E3-9099-C40C66FF867C}">
                  <a14:compatExt spid="_x0000_s471254"/>
                </a:ext>
                <a:ext uri="{FF2B5EF4-FFF2-40B4-BE49-F238E27FC236}">
                  <a16:creationId xmlns:a16="http://schemas.microsoft.com/office/drawing/2014/main" id="{00000000-0008-0000-1F00-0000D6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7</xdr:col>
          <xdr:colOff>0</xdr:colOff>
          <xdr:row>242</xdr:row>
          <xdr:rowOff>0</xdr:rowOff>
        </xdr:to>
        <xdr:sp macro="" textlink="">
          <xdr:nvSpPr>
            <xdr:cNvPr id="471255" name="bpmDropDownFLU615" hidden="1">
              <a:extLst>
                <a:ext uri="{63B3BB69-23CF-44E3-9099-C40C66FF867C}">
                  <a14:compatExt spid="_x0000_s471255"/>
                </a:ext>
                <a:ext uri="{FF2B5EF4-FFF2-40B4-BE49-F238E27FC236}">
                  <a16:creationId xmlns:a16="http://schemas.microsoft.com/office/drawing/2014/main" id="{00000000-0008-0000-1F00-0000D7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0</xdr:rowOff>
        </xdr:from>
        <xdr:to>
          <xdr:col>7</xdr:col>
          <xdr:colOff>0</xdr:colOff>
          <xdr:row>243</xdr:row>
          <xdr:rowOff>0</xdr:rowOff>
        </xdr:to>
        <xdr:sp macro="" textlink="">
          <xdr:nvSpPr>
            <xdr:cNvPr id="471256" name="bpmDropDownFLU616" hidden="1">
              <a:extLst>
                <a:ext uri="{63B3BB69-23CF-44E3-9099-C40C66FF867C}">
                  <a14:compatExt spid="_x0000_s471256"/>
                </a:ext>
                <a:ext uri="{FF2B5EF4-FFF2-40B4-BE49-F238E27FC236}">
                  <a16:creationId xmlns:a16="http://schemas.microsoft.com/office/drawing/2014/main" id="{00000000-0008-0000-1F00-0000D8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0</xdr:rowOff>
        </xdr:from>
        <xdr:to>
          <xdr:col>7</xdr:col>
          <xdr:colOff>0</xdr:colOff>
          <xdr:row>244</xdr:row>
          <xdr:rowOff>0</xdr:rowOff>
        </xdr:to>
        <xdr:sp macro="" textlink="">
          <xdr:nvSpPr>
            <xdr:cNvPr id="471257" name="bpmDropDownFLU617" hidden="1">
              <a:extLst>
                <a:ext uri="{63B3BB69-23CF-44E3-9099-C40C66FF867C}">
                  <a14:compatExt spid="_x0000_s471257"/>
                </a:ext>
                <a:ext uri="{FF2B5EF4-FFF2-40B4-BE49-F238E27FC236}">
                  <a16:creationId xmlns:a16="http://schemas.microsoft.com/office/drawing/2014/main" id="{00000000-0008-0000-1F00-0000D9300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123825</xdr:colOff>
      <xdr:row>8</xdr:row>
      <xdr:rowOff>352425</xdr:rowOff>
    </xdr:from>
    <xdr:to>
      <xdr:col>7</xdr:col>
      <xdr:colOff>476250</xdr:colOff>
      <xdr:row>12</xdr:row>
      <xdr:rowOff>43576</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859405" y="2592705"/>
          <a:ext cx="1813560" cy="1710451"/>
          <a:chOff x="1495425" y="2628900"/>
          <a:chExt cx="2190750" cy="1710451"/>
        </a:xfrm>
      </xdr:grpSpPr>
      <xdr:sp macro="" textlink="">
        <xdr:nvSpPr>
          <xdr:cNvPr id="26" name="Parallelogram 25">
            <a:hlinkClick xmlns:r="http://schemas.openxmlformats.org/officeDocument/2006/relationships" r:id="rId1"/>
            <a:extLst>
              <a:ext uri="{FF2B5EF4-FFF2-40B4-BE49-F238E27FC236}">
                <a16:creationId xmlns:a16="http://schemas.microsoft.com/office/drawing/2014/main" id="{00000000-0008-0000-0200-00001A000000}"/>
              </a:ext>
            </a:extLst>
          </xdr:cNvPr>
          <xdr:cNvSpPr/>
        </xdr:nvSpPr>
        <xdr:spPr>
          <a:xfrm>
            <a:off x="1495425" y="2628900"/>
            <a:ext cx="2190750" cy="266700"/>
          </a:xfrm>
          <a:prstGeom prst="parallelogram">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TIME PERIOD</a:t>
            </a:r>
          </a:p>
          <a:p>
            <a:pPr algn="ctr"/>
            <a:endParaRPr lang="en-US" sz="1100" b="1">
              <a:solidFill>
                <a:sysClr val="windowText" lastClr="000000"/>
              </a:solidFill>
            </a:endParaRPr>
          </a:p>
        </xdr:txBody>
      </xdr:sp>
      <xdr:sp macro="" textlink="">
        <xdr:nvSpPr>
          <xdr:cNvPr id="27" name="Parallelogram 26">
            <a:hlinkClick xmlns:r="http://schemas.openxmlformats.org/officeDocument/2006/relationships" r:id="rId2"/>
            <a:extLst>
              <a:ext uri="{FF2B5EF4-FFF2-40B4-BE49-F238E27FC236}">
                <a16:creationId xmlns:a16="http://schemas.microsoft.com/office/drawing/2014/main" id="{00000000-0008-0000-0200-00001B000000}"/>
              </a:ext>
            </a:extLst>
          </xdr:cNvPr>
          <xdr:cNvSpPr/>
        </xdr:nvSpPr>
        <xdr:spPr>
          <a:xfrm>
            <a:off x="1495425" y="3110150"/>
            <a:ext cx="2190750" cy="266700"/>
          </a:xfrm>
          <a:prstGeom prst="parallelogram">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FINANCIAL RATES</a:t>
            </a:r>
          </a:p>
          <a:p>
            <a:pPr algn="ctr"/>
            <a:endParaRPr lang="en-US" sz="1100" b="1"/>
          </a:p>
        </xdr:txBody>
      </xdr:sp>
      <xdr:sp macro="" textlink="">
        <xdr:nvSpPr>
          <xdr:cNvPr id="29" name="Parallelogram 28">
            <a:hlinkClick xmlns:r="http://schemas.openxmlformats.org/officeDocument/2006/relationships" r:id="rId3"/>
            <a:extLst>
              <a:ext uri="{FF2B5EF4-FFF2-40B4-BE49-F238E27FC236}">
                <a16:creationId xmlns:a16="http://schemas.microsoft.com/office/drawing/2014/main" id="{00000000-0008-0000-0200-00001D000000}"/>
              </a:ext>
            </a:extLst>
          </xdr:cNvPr>
          <xdr:cNvSpPr/>
        </xdr:nvSpPr>
        <xdr:spPr>
          <a:xfrm>
            <a:off x="1495425" y="3591400"/>
            <a:ext cx="2190750" cy="266700"/>
          </a:xfrm>
          <a:prstGeom prst="parallelogram">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CUSTOM LABELS</a:t>
            </a:r>
          </a:p>
          <a:p>
            <a:pPr algn="ctr"/>
            <a:endParaRPr lang="en-US" sz="1100" b="1">
              <a:solidFill>
                <a:sysClr val="windowText" lastClr="000000"/>
              </a:solidFill>
            </a:endParaRPr>
          </a:p>
        </xdr:txBody>
      </xdr:sp>
      <xdr:sp macro="" textlink="">
        <xdr:nvSpPr>
          <xdr:cNvPr id="30" name="Parallelogram 29">
            <a:hlinkClick xmlns:r="http://schemas.openxmlformats.org/officeDocument/2006/relationships" r:id="rId4"/>
            <a:extLst>
              <a:ext uri="{FF2B5EF4-FFF2-40B4-BE49-F238E27FC236}">
                <a16:creationId xmlns:a16="http://schemas.microsoft.com/office/drawing/2014/main" id="{00000000-0008-0000-0200-00001E000000}"/>
              </a:ext>
            </a:extLst>
          </xdr:cNvPr>
          <xdr:cNvSpPr/>
        </xdr:nvSpPr>
        <xdr:spPr>
          <a:xfrm>
            <a:off x="1495425" y="4072651"/>
            <a:ext cx="2190750" cy="266700"/>
          </a:xfrm>
          <a:prstGeom prst="parallelogram">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TARGET POPULATIONS</a:t>
            </a:r>
          </a:p>
          <a:p>
            <a:pPr algn="ctr"/>
            <a:endParaRPr lang="en-US" sz="1100" b="1">
              <a:solidFill>
                <a:sysClr val="windowText" lastClr="000000"/>
              </a:solidFill>
            </a:endParaRPr>
          </a:p>
        </xdr:txBody>
      </xdr:sp>
    </xdr:grpSp>
    <xdr:clientData/>
  </xdr:twoCellAnchor>
  <xdr:twoCellAnchor editAs="oneCell">
    <xdr:from>
      <xdr:col>0</xdr:col>
      <xdr:colOff>0</xdr:colOff>
      <xdr:row>4</xdr:row>
      <xdr:rowOff>95250</xdr:rowOff>
    </xdr:from>
    <xdr:to>
      <xdr:col>1</xdr:col>
      <xdr:colOff>9525</xdr:colOff>
      <xdr:row>5</xdr:row>
      <xdr:rowOff>180975</xdr:rowOff>
    </xdr:to>
    <xdr:pic>
      <xdr:nvPicPr>
        <xdr:cNvPr id="38" name="Picture 37">
          <a:hlinkClick xmlns:r="http://schemas.openxmlformats.org/officeDocument/2006/relationships" r:id="rId5"/>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6"/>
        <a:stretch>
          <a:fillRect/>
        </a:stretch>
      </xdr:blipFill>
      <xdr:spPr>
        <a:xfrm>
          <a:off x="0" y="981075"/>
          <a:ext cx="285750" cy="285750"/>
        </a:xfrm>
        <a:prstGeom prst="rect">
          <a:avLst/>
        </a:prstGeom>
      </xdr:spPr>
    </xdr:pic>
    <xdr:clientData/>
  </xdr:twoCellAnchor>
  <xdr:twoCellAnchor>
    <xdr:from>
      <xdr:col>13</xdr:col>
      <xdr:colOff>133350</xdr:colOff>
      <xdr:row>8</xdr:row>
      <xdr:rowOff>257175</xdr:rowOff>
    </xdr:from>
    <xdr:to>
      <xdr:col>16</xdr:col>
      <xdr:colOff>714375</xdr:colOff>
      <xdr:row>9</xdr:row>
      <xdr:rowOff>95250</xdr:rowOff>
    </xdr:to>
    <xdr:sp macro="" textlink="">
      <xdr:nvSpPr>
        <xdr:cNvPr id="46" name="Snip Single Corner Rectangle 45">
          <a:hlinkClick xmlns:r="http://schemas.openxmlformats.org/officeDocument/2006/relationships" r:id="rId7"/>
          <a:extLst>
            <a:ext uri="{FF2B5EF4-FFF2-40B4-BE49-F238E27FC236}">
              <a16:creationId xmlns:a16="http://schemas.microsoft.com/office/drawing/2014/main" id="{00000000-0008-0000-0200-00002E000000}"/>
            </a:ext>
          </a:extLst>
        </xdr:cNvPr>
        <xdr:cNvSpPr/>
      </xdr:nvSpPr>
      <xdr:spPr>
        <a:xfrm>
          <a:off x="9134475" y="2390775"/>
          <a:ext cx="2390775" cy="342900"/>
        </a:xfrm>
        <a:prstGeom prst="snip1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DETAILED MICROPLANNING WORKSHEET</a:t>
          </a:r>
        </a:p>
      </xdr:txBody>
    </xdr:sp>
    <xdr:clientData/>
  </xdr:twoCellAnchor>
  <xdr:twoCellAnchor>
    <xdr:from>
      <xdr:col>13</xdr:col>
      <xdr:colOff>76200</xdr:colOff>
      <xdr:row>10</xdr:row>
      <xdr:rowOff>242411</xdr:rowOff>
    </xdr:from>
    <xdr:to>
      <xdr:col>16</xdr:col>
      <xdr:colOff>742951</xdr:colOff>
      <xdr:row>11</xdr:row>
      <xdr:rowOff>51912</xdr:rowOff>
    </xdr:to>
    <xdr:sp macro="" textlink="">
      <xdr:nvSpPr>
        <xdr:cNvPr id="47" name="Snip Single Corner Rectangle 46">
          <a:hlinkClick xmlns:r="http://schemas.openxmlformats.org/officeDocument/2006/relationships" r:id="rId8"/>
          <a:extLst>
            <a:ext uri="{FF2B5EF4-FFF2-40B4-BE49-F238E27FC236}">
              <a16:creationId xmlns:a16="http://schemas.microsoft.com/office/drawing/2014/main" id="{00000000-0008-0000-0200-00002F000000}"/>
            </a:ext>
          </a:extLst>
        </xdr:cNvPr>
        <xdr:cNvSpPr/>
      </xdr:nvSpPr>
      <xdr:spPr>
        <a:xfrm>
          <a:off x="9077325" y="3385661"/>
          <a:ext cx="2476501" cy="314326"/>
        </a:xfrm>
        <a:prstGeom prst="snip1Rect">
          <a:avLst/>
        </a:prstGeom>
        <a:solidFill>
          <a:schemeClr val="bg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DETAILED DISTRIBUTION WORKSHEET</a:t>
          </a:r>
        </a:p>
      </xdr:txBody>
    </xdr:sp>
    <xdr:clientData/>
  </xdr:twoCellAnchor>
  <xdr:twoCellAnchor>
    <xdr:from>
      <xdr:col>13</xdr:col>
      <xdr:colOff>76200</xdr:colOff>
      <xdr:row>11</xdr:row>
      <xdr:rowOff>206455</xdr:rowOff>
    </xdr:from>
    <xdr:to>
      <xdr:col>16</xdr:col>
      <xdr:colOff>733425</xdr:colOff>
      <xdr:row>12</xdr:row>
      <xdr:rowOff>35004</xdr:rowOff>
    </xdr:to>
    <xdr:sp macro="" textlink="">
      <xdr:nvSpPr>
        <xdr:cNvPr id="48" name="Snip Single Corner Rectangle 47">
          <a:hlinkClick xmlns:r="http://schemas.openxmlformats.org/officeDocument/2006/relationships" r:id="rId9"/>
          <a:extLst>
            <a:ext uri="{FF2B5EF4-FFF2-40B4-BE49-F238E27FC236}">
              <a16:creationId xmlns:a16="http://schemas.microsoft.com/office/drawing/2014/main" id="{00000000-0008-0000-0200-000030000000}"/>
            </a:ext>
          </a:extLst>
        </xdr:cNvPr>
        <xdr:cNvSpPr/>
      </xdr:nvSpPr>
      <xdr:spPr>
        <a:xfrm>
          <a:off x="9077325" y="3854530"/>
          <a:ext cx="2466975" cy="333374"/>
        </a:xfrm>
        <a:prstGeom prst="snip1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lang="en-US" sz="1100" b="1"/>
            <a:t>DETAILED TRAINING WORKSHEET</a:t>
          </a:r>
        </a:p>
      </xdr:txBody>
    </xdr:sp>
    <xdr:clientData/>
  </xdr:twoCellAnchor>
  <xdr:twoCellAnchor>
    <xdr:from>
      <xdr:col>13</xdr:col>
      <xdr:colOff>76200</xdr:colOff>
      <xdr:row>12</xdr:row>
      <xdr:rowOff>237172</xdr:rowOff>
    </xdr:from>
    <xdr:to>
      <xdr:col>16</xdr:col>
      <xdr:colOff>742951</xdr:colOff>
      <xdr:row>13</xdr:row>
      <xdr:rowOff>84772</xdr:rowOff>
    </xdr:to>
    <xdr:sp macro="" textlink="">
      <xdr:nvSpPr>
        <xdr:cNvPr id="49" name="Snip Single Corner Rectangle 48">
          <a:hlinkClick xmlns:r="http://schemas.openxmlformats.org/officeDocument/2006/relationships" r:id="rId10"/>
          <a:extLst>
            <a:ext uri="{FF2B5EF4-FFF2-40B4-BE49-F238E27FC236}">
              <a16:creationId xmlns:a16="http://schemas.microsoft.com/office/drawing/2014/main" id="{00000000-0008-0000-0200-000031000000}"/>
            </a:ext>
          </a:extLst>
        </xdr:cNvPr>
        <xdr:cNvSpPr/>
      </xdr:nvSpPr>
      <xdr:spPr>
        <a:xfrm>
          <a:off x="9077325" y="4390072"/>
          <a:ext cx="2476501" cy="352425"/>
        </a:xfrm>
        <a:prstGeom prst="snip1Rect">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t>DETAILED </a:t>
          </a:r>
          <a:r>
            <a:rPr lang="en-US" sz="1100" b="1" baseline="0"/>
            <a:t>(IEC) /  MOBILISATION WORKSHEET</a:t>
          </a:r>
          <a:endParaRPr lang="en-US" sz="1100" b="1"/>
        </a:p>
      </xdr:txBody>
    </xdr:sp>
    <xdr:clientData/>
  </xdr:twoCellAnchor>
  <xdr:twoCellAnchor>
    <xdr:from>
      <xdr:col>13</xdr:col>
      <xdr:colOff>76200</xdr:colOff>
      <xdr:row>13</xdr:row>
      <xdr:rowOff>361950</xdr:rowOff>
    </xdr:from>
    <xdr:to>
      <xdr:col>16</xdr:col>
      <xdr:colOff>714375</xdr:colOff>
      <xdr:row>14</xdr:row>
      <xdr:rowOff>171450</xdr:rowOff>
    </xdr:to>
    <xdr:sp macro="" textlink="">
      <xdr:nvSpPr>
        <xdr:cNvPr id="50" name="Snip Single Corner Rectangle 49">
          <a:hlinkClick xmlns:r="http://schemas.openxmlformats.org/officeDocument/2006/relationships" r:id="rId11"/>
          <a:extLst>
            <a:ext uri="{FF2B5EF4-FFF2-40B4-BE49-F238E27FC236}">
              <a16:creationId xmlns:a16="http://schemas.microsoft.com/office/drawing/2014/main" id="{00000000-0008-0000-0200-000032000000}"/>
            </a:ext>
          </a:extLst>
        </xdr:cNvPr>
        <xdr:cNvSpPr/>
      </xdr:nvSpPr>
      <xdr:spPr>
        <a:xfrm>
          <a:off x="9077325" y="5019675"/>
          <a:ext cx="2447925" cy="314325"/>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DETAILED  ROUTINE SERVICE DELIVERY </a:t>
          </a:r>
        </a:p>
      </xdr:txBody>
    </xdr:sp>
    <xdr:clientData/>
  </xdr:twoCellAnchor>
  <xdr:twoCellAnchor>
    <xdr:from>
      <xdr:col>13</xdr:col>
      <xdr:colOff>76200</xdr:colOff>
      <xdr:row>16</xdr:row>
      <xdr:rowOff>1905</xdr:rowOff>
    </xdr:from>
    <xdr:to>
      <xdr:col>16</xdr:col>
      <xdr:colOff>742951</xdr:colOff>
      <xdr:row>16</xdr:row>
      <xdr:rowOff>316230</xdr:rowOff>
    </xdr:to>
    <xdr:sp macro="" textlink="">
      <xdr:nvSpPr>
        <xdr:cNvPr id="51" name="Snip Single Corner Rectangle 50">
          <a:hlinkClick xmlns:r="http://schemas.openxmlformats.org/officeDocument/2006/relationships" r:id="rId12"/>
          <a:extLst>
            <a:ext uri="{FF2B5EF4-FFF2-40B4-BE49-F238E27FC236}">
              <a16:creationId xmlns:a16="http://schemas.microsoft.com/office/drawing/2014/main" id="{00000000-0008-0000-0200-000033000000}"/>
            </a:ext>
          </a:extLst>
        </xdr:cNvPr>
        <xdr:cNvSpPr/>
      </xdr:nvSpPr>
      <xdr:spPr>
        <a:xfrm>
          <a:off x="9077325" y="6174105"/>
          <a:ext cx="2476501" cy="314325"/>
        </a:xfrm>
        <a:prstGeom prst="snip1Rect">
          <a:avLst/>
        </a:prstGeom>
        <a:solidFill>
          <a:schemeClr val="accent6">
            <a:lumMod val="75000"/>
          </a:schemeClr>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DETAILED SUPERVISION</a:t>
          </a:r>
          <a:r>
            <a:rPr lang="en-US" sz="1100" b="1" baseline="0">
              <a:solidFill>
                <a:schemeClr val="bg1"/>
              </a:solidFill>
            </a:rPr>
            <a:t>  WORKSHEET</a:t>
          </a:r>
          <a:endParaRPr lang="en-US" sz="1100" b="1">
            <a:solidFill>
              <a:schemeClr val="bg1"/>
            </a:solidFill>
          </a:endParaRPr>
        </a:p>
      </xdr:txBody>
    </xdr:sp>
    <xdr:clientData/>
  </xdr:twoCellAnchor>
  <xdr:twoCellAnchor>
    <xdr:from>
      <xdr:col>13</xdr:col>
      <xdr:colOff>76200</xdr:colOff>
      <xdr:row>17</xdr:row>
      <xdr:rowOff>464820</xdr:rowOff>
    </xdr:from>
    <xdr:to>
      <xdr:col>16</xdr:col>
      <xdr:colOff>752475</xdr:colOff>
      <xdr:row>18</xdr:row>
      <xdr:rowOff>274320</xdr:rowOff>
    </xdr:to>
    <xdr:sp macro="" textlink="">
      <xdr:nvSpPr>
        <xdr:cNvPr id="52" name="Snip Single Corner Rectangle 51">
          <a:hlinkClick xmlns:r="http://schemas.openxmlformats.org/officeDocument/2006/relationships" r:id="rId13"/>
          <a:extLst>
            <a:ext uri="{FF2B5EF4-FFF2-40B4-BE49-F238E27FC236}">
              <a16:creationId xmlns:a16="http://schemas.microsoft.com/office/drawing/2014/main" id="{00000000-0008-0000-0200-000034000000}"/>
            </a:ext>
          </a:extLst>
        </xdr:cNvPr>
        <xdr:cNvSpPr/>
      </xdr:nvSpPr>
      <xdr:spPr>
        <a:xfrm>
          <a:off x="9077325" y="7141845"/>
          <a:ext cx="2486025" cy="314325"/>
        </a:xfrm>
        <a:prstGeom prst="snip1Rect">
          <a:avLst/>
        </a:prstGeom>
        <a:solidFill>
          <a:srgbClr val="7030A0"/>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DETAILED OTHER COSTS</a:t>
          </a:r>
          <a:r>
            <a:rPr lang="en-US" sz="1100" b="1" baseline="0">
              <a:solidFill>
                <a:schemeClr val="bg1"/>
              </a:solidFill>
            </a:rPr>
            <a:t> </a:t>
          </a:r>
          <a:r>
            <a:rPr lang="en-US" sz="1100" b="1">
              <a:solidFill>
                <a:schemeClr val="bg1"/>
              </a:solidFill>
            </a:rPr>
            <a:t>WORKSHEET</a:t>
          </a:r>
        </a:p>
      </xdr:txBody>
    </xdr:sp>
    <xdr:clientData/>
  </xdr:twoCellAnchor>
  <xdr:twoCellAnchor>
    <xdr:from>
      <xdr:col>13</xdr:col>
      <xdr:colOff>76200</xdr:colOff>
      <xdr:row>14</xdr:row>
      <xdr:rowOff>371475</xdr:rowOff>
    </xdr:from>
    <xdr:to>
      <xdr:col>16</xdr:col>
      <xdr:colOff>714375</xdr:colOff>
      <xdr:row>15</xdr:row>
      <xdr:rowOff>180975</xdr:rowOff>
    </xdr:to>
    <xdr:sp macro="" textlink="">
      <xdr:nvSpPr>
        <xdr:cNvPr id="54" name="Snip Single Corner Rectangle 53">
          <a:hlinkClick xmlns:r="http://schemas.openxmlformats.org/officeDocument/2006/relationships" r:id="rId14"/>
          <a:extLst>
            <a:ext uri="{FF2B5EF4-FFF2-40B4-BE49-F238E27FC236}">
              <a16:creationId xmlns:a16="http://schemas.microsoft.com/office/drawing/2014/main" id="{00000000-0008-0000-0200-000036000000}"/>
            </a:ext>
          </a:extLst>
        </xdr:cNvPr>
        <xdr:cNvSpPr/>
      </xdr:nvSpPr>
      <xdr:spPr>
        <a:xfrm>
          <a:off x="9077325" y="5534025"/>
          <a:ext cx="2447925" cy="314325"/>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DETAILED  SPECIAL IMM.UNIZATION</a:t>
          </a:r>
          <a:r>
            <a:rPr lang="en-US" sz="1100" b="1" baseline="0">
              <a:solidFill>
                <a:sysClr val="windowText" lastClr="000000"/>
              </a:solidFill>
            </a:rPr>
            <a:t> </a:t>
          </a:r>
          <a:r>
            <a:rPr lang="en-US" sz="1100" b="1">
              <a:solidFill>
                <a:sysClr val="windowText" lastClr="000000"/>
              </a:solidFill>
            </a:rPr>
            <a:t>ACTIVITY</a:t>
          </a:r>
        </a:p>
      </xdr:txBody>
    </xdr:sp>
    <xdr:clientData/>
  </xdr:twoCellAnchor>
  <xdr:twoCellAnchor>
    <xdr:from>
      <xdr:col>9</xdr:col>
      <xdr:colOff>171450</xdr:colOff>
      <xdr:row>9</xdr:row>
      <xdr:rowOff>259318</xdr:rowOff>
    </xdr:from>
    <xdr:to>
      <xdr:col>12</xdr:col>
      <xdr:colOff>514350</xdr:colOff>
      <xdr:row>10</xdr:row>
      <xdr:rowOff>68818</xdr:rowOff>
    </xdr:to>
    <xdr:sp macro="" textlink="">
      <xdr:nvSpPr>
        <xdr:cNvPr id="19" name="Snip Single Corner Rectangle 18">
          <a:hlinkClick xmlns:r="http://schemas.openxmlformats.org/officeDocument/2006/relationships" r:id="rId15"/>
          <a:extLst>
            <a:ext uri="{FF2B5EF4-FFF2-40B4-BE49-F238E27FC236}">
              <a16:creationId xmlns:a16="http://schemas.microsoft.com/office/drawing/2014/main" id="{00000000-0008-0000-0200-000013000000}"/>
            </a:ext>
          </a:extLst>
        </xdr:cNvPr>
        <xdr:cNvSpPr/>
      </xdr:nvSpPr>
      <xdr:spPr>
        <a:xfrm>
          <a:off x="4638675" y="3050143"/>
          <a:ext cx="2771775" cy="314325"/>
        </a:xfrm>
        <a:prstGeom prst="snip1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b="1"/>
            <a:t>PROCUREMENT</a:t>
          </a:r>
        </a:p>
      </xdr:txBody>
    </xdr:sp>
    <xdr:clientData/>
  </xdr:twoCellAnchor>
  <xdr:twoCellAnchor>
    <xdr:from>
      <xdr:col>9</xdr:col>
      <xdr:colOff>171450</xdr:colOff>
      <xdr:row>8</xdr:row>
      <xdr:rowOff>276225</xdr:rowOff>
    </xdr:from>
    <xdr:to>
      <xdr:col>12</xdr:col>
      <xdr:colOff>514350</xdr:colOff>
      <xdr:row>9</xdr:row>
      <xdr:rowOff>66675</xdr:rowOff>
    </xdr:to>
    <xdr:sp macro="" textlink="">
      <xdr:nvSpPr>
        <xdr:cNvPr id="20" name="Snip Single Corner Rectangle 19">
          <a:hlinkClick xmlns:r="http://schemas.openxmlformats.org/officeDocument/2006/relationships" r:id="rId16"/>
          <a:extLst>
            <a:ext uri="{FF2B5EF4-FFF2-40B4-BE49-F238E27FC236}">
              <a16:creationId xmlns:a16="http://schemas.microsoft.com/office/drawing/2014/main" id="{00000000-0008-0000-0200-000014000000}"/>
            </a:ext>
          </a:extLst>
        </xdr:cNvPr>
        <xdr:cNvSpPr/>
      </xdr:nvSpPr>
      <xdr:spPr>
        <a:xfrm>
          <a:off x="4638675" y="2562225"/>
          <a:ext cx="2771775" cy="295275"/>
        </a:xfrm>
        <a:prstGeom prst="snip1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MICROPLANNING</a:t>
          </a:r>
        </a:p>
      </xdr:txBody>
    </xdr:sp>
    <xdr:clientData/>
  </xdr:twoCellAnchor>
  <xdr:twoCellAnchor>
    <xdr:from>
      <xdr:col>9</xdr:col>
      <xdr:colOff>171450</xdr:colOff>
      <xdr:row>10</xdr:row>
      <xdr:rowOff>261461</xdr:rowOff>
    </xdr:from>
    <xdr:to>
      <xdr:col>12</xdr:col>
      <xdr:colOff>504825</xdr:colOff>
      <xdr:row>11</xdr:row>
      <xdr:rowOff>61436</xdr:rowOff>
    </xdr:to>
    <xdr:sp macro="" textlink="">
      <xdr:nvSpPr>
        <xdr:cNvPr id="22" name="Snip Single Corner Rectangle 21">
          <a:hlinkClick xmlns:r="http://schemas.openxmlformats.org/officeDocument/2006/relationships" r:id="rId17"/>
          <a:extLst>
            <a:ext uri="{FF2B5EF4-FFF2-40B4-BE49-F238E27FC236}">
              <a16:creationId xmlns:a16="http://schemas.microsoft.com/office/drawing/2014/main" id="{00000000-0008-0000-0200-000016000000}"/>
            </a:ext>
          </a:extLst>
        </xdr:cNvPr>
        <xdr:cNvSpPr/>
      </xdr:nvSpPr>
      <xdr:spPr>
        <a:xfrm>
          <a:off x="4638675" y="3557111"/>
          <a:ext cx="2762250" cy="304800"/>
        </a:xfrm>
        <a:prstGeom prst="snip1Rect">
          <a:avLst/>
        </a:prstGeom>
        <a:solidFill>
          <a:schemeClr val="bg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US" sz="1100" b="1"/>
            <a:t>DISTRIBUTION</a:t>
          </a:r>
        </a:p>
      </xdr:txBody>
    </xdr:sp>
    <xdr:clientData/>
  </xdr:twoCellAnchor>
  <xdr:twoCellAnchor>
    <xdr:from>
      <xdr:col>9</xdr:col>
      <xdr:colOff>171450</xdr:colOff>
      <xdr:row>11</xdr:row>
      <xdr:rowOff>254079</xdr:rowOff>
    </xdr:from>
    <xdr:to>
      <xdr:col>12</xdr:col>
      <xdr:colOff>504825</xdr:colOff>
      <xdr:row>12</xdr:row>
      <xdr:rowOff>63579</xdr:rowOff>
    </xdr:to>
    <xdr:sp macro="" textlink="">
      <xdr:nvSpPr>
        <xdr:cNvPr id="23" name="Snip Single Corner Rectangle 22">
          <a:hlinkClick xmlns:r="http://schemas.openxmlformats.org/officeDocument/2006/relationships" r:id="rId18"/>
          <a:extLst>
            <a:ext uri="{FF2B5EF4-FFF2-40B4-BE49-F238E27FC236}">
              <a16:creationId xmlns:a16="http://schemas.microsoft.com/office/drawing/2014/main" id="{00000000-0008-0000-0200-000017000000}"/>
            </a:ext>
          </a:extLst>
        </xdr:cNvPr>
        <xdr:cNvSpPr/>
      </xdr:nvSpPr>
      <xdr:spPr>
        <a:xfrm>
          <a:off x="4638675" y="4054554"/>
          <a:ext cx="2762250" cy="314325"/>
        </a:xfrm>
        <a:prstGeom prst="snip1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lang="en-US" sz="1100" b="1"/>
            <a:t>TRAINING</a:t>
          </a:r>
        </a:p>
      </xdr:txBody>
    </xdr:sp>
    <xdr:clientData/>
  </xdr:twoCellAnchor>
  <xdr:twoCellAnchor>
    <xdr:from>
      <xdr:col>9</xdr:col>
      <xdr:colOff>171450</xdr:colOff>
      <xdr:row>12</xdr:row>
      <xdr:rowOff>256222</xdr:rowOff>
    </xdr:from>
    <xdr:to>
      <xdr:col>12</xdr:col>
      <xdr:colOff>504826</xdr:colOff>
      <xdr:row>13</xdr:row>
      <xdr:rowOff>103822</xdr:rowOff>
    </xdr:to>
    <xdr:sp macro="" textlink="">
      <xdr:nvSpPr>
        <xdr:cNvPr id="24" name="Snip Single Corner Rectangle 23">
          <a:hlinkClick xmlns:r="http://schemas.openxmlformats.org/officeDocument/2006/relationships" r:id="rId19"/>
          <a:extLst>
            <a:ext uri="{FF2B5EF4-FFF2-40B4-BE49-F238E27FC236}">
              <a16:creationId xmlns:a16="http://schemas.microsoft.com/office/drawing/2014/main" id="{00000000-0008-0000-0200-000018000000}"/>
            </a:ext>
          </a:extLst>
        </xdr:cNvPr>
        <xdr:cNvSpPr/>
      </xdr:nvSpPr>
      <xdr:spPr>
        <a:xfrm>
          <a:off x="4638675" y="4561522"/>
          <a:ext cx="2762251" cy="352425"/>
        </a:xfrm>
        <a:prstGeom prst="snip1Rect">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t>COMMUNICATION</a:t>
          </a:r>
          <a:r>
            <a:rPr lang="en-US" sz="1100" b="1" baseline="0"/>
            <a:t>  (IEC) /  MOBILISATION</a:t>
          </a:r>
          <a:endParaRPr lang="en-US" sz="1100" b="1"/>
        </a:p>
      </xdr:txBody>
    </xdr:sp>
    <xdr:clientData/>
  </xdr:twoCellAnchor>
  <xdr:twoCellAnchor>
    <xdr:from>
      <xdr:col>9</xdr:col>
      <xdr:colOff>171450</xdr:colOff>
      <xdr:row>13</xdr:row>
      <xdr:rowOff>296465</xdr:rowOff>
    </xdr:from>
    <xdr:to>
      <xdr:col>12</xdr:col>
      <xdr:colOff>485775</xdr:colOff>
      <xdr:row>15</xdr:row>
      <xdr:rowOff>296465</xdr:rowOff>
    </xdr:to>
    <xdr:sp macro="" textlink="">
      <xdr:nvSpPr>
        <xdr:cNvPr id="32" name="Snip Single Corner Rectangle 31">
          <a:hlinkClick xmlns:r="http://schemas.openxmlformats.org/officeDocument/2006/relationships" r:id="rId20"/>
          <a:extLst>
            <a:ext uri="{FF2B5EF4-FFF2-40B4-BE49-F238E27FC236}">
              <a16:creationId xmlns:a16="http://schemas.microsoft.com/office/drawing/2014/main" id="{00000000-0008-0000-0200-000020000000}"/>
            </a:ext>
          </a:extLst>
        </xdr:cNvPr>
        <xdr:cNvSpPr/>
      </xdr:nvSpPr>
      <xdr:spPr>
        <a:xfrm>
          <a:off x="4638675" y="5106590"/>
          <a:ext cx="2743200" cy="1009650"/>
        </a:xfrm>
        <a:prstGeom prst="snip1Rect">
          <a:avLst/>
        </a:prstGeom>
        <a:solidFill>
          <a:schemeClr val="accent4"/>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ysClr val="windowText" lastClr="000000"/>
              </a:solidFill>
            </a:rPr>
            <a:t>SERVICE DELIVERY</a:t>
          </a:r>
        </a:p>
      </xdr:txBody>
    </xdr:sp>
    <xdr:clientData/>
  </xdr:twoCellAnchor>
  <xdr:twoCellAnchor>
    <xdr:from>
      <xdr:col>9</xdr:col>
      <xdr:colOff>171450</xdr:colOff>
      <xdr:row>15</xdr:row>
      <xdr:rowOff>489108</xdr:rowOff>
    </xdr:from>
    <xdr:to>
      <xdr:col>12</xdr:col>
      <xdr:colOff>466726</xdr:colOff>
      <xdr:row>16</xdr:row>
      <xdr:rowOff>298608</xdr:rowOff>
    </xdr:to>
    <xdr:sp macro="" textlink="">
      <xdr:nvSpPr>
        <xdr:cNvPr id="40" name="Snip Single Corner Rectangle 39">
          <a:hlinkClick xmlns:r="http://schemas.openxmlformats.org/officeDocument/2006/relationships" r:id="rId21"/>
          <a:extLst>
            <a:ext uri="{FF2B5EF4-FFF2-40B4-BE49-F238E27FC236}">
              <a16:creationId xmlns:a16="http://schemas.microsoft.com/office/drawing/2014/main" id="{00000000-0008-0000-0200-000028000000}"/>
            </a:ext>
          </a:extLst>
        </xdr:cNvPr>
        <xdr:cNvSpPr/>
      </xdr:nvSpPr>
      <xdr:spPr>
        <a:xfrm>
          <a:off x="4638675" y="6308883"/>
          <a:ext cx="2724151" cy="314325"/>
        </a:xfrm>
        <a:prstGeom prst="snip1Rect">
          <a:avLst/>
        </a:prstGeom>
        <a:solidFill>
          <a:schemeClr val="accent6">
            <a:lumMod val="75000"/>
          </a:schemeClr>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SUPERVISION</a:t>
          </a:r>
          <a:r>
            <a:rPr lang="en-US" sz="1100" b="1" baseline="0">
              <a:solidFill>
                <a:schemeClr val="bg1"/>
              </a:solidFill>
            </a:rPr>
            <a:t> &amp; </a:t>
          </a:r>
          <a:r>
            <a:rPr lang="en-US" sz="1100" b="1">
              <a:solidFill>
                <a:schemeClr val="bg1"/>
              </a:solidFill>
            </a:rPr>
            <a:t>MONITORING</a:t>
          </a:r>
        </a:p>
      </xdr:txBody>
    </xdr:sp>
    <xdr:clientData/>
  </xdr:twoCellAnchor>
  <xdr:twoCellAnchor>
    <xdr:from>
      <xdr:col>9</xdr:col>
      <xdr:colOff>171450</xdr:colOff>
      <xdr:row>17</xdr:row>
      <xdr:rowOff>493395</xdr:rowOff>
    </xdr:from>
    <xdr:to>
      <xdr:col>12</xdr:col>
      <xdr:colOff>466725</xdr:colOff>
      <xdr:row>18</xdr:row>
      <xdr:rowOff>302895</xdr:rowOff>
    </xdr:to>
    <xdr:sp macro="" textlink="">
      <xdr:nvSpPr>
        <xdr:cNvPr id="41" name="Snip Single Corner Rectangle 40">
          <a:hlinkClick xmlns:r="http://schemas.openxmlformats.org/officeDocument/2006/relationships" r:id="rId22"/>
          <a:extLst>
            <a:ext uri="{FF2B5EF4-FFF2-40B4-BE49-F238E27FC236}">
              <a16:creationId xmlns:a16="http://schemas.microsoft.com/office/drawing/2014/main" id="{00000000-0008-0000-0200-000029000000}"/>
            </a:ext>
          </a:extLst>
        </xdr:cNvPr>
        <xdr:cNvSpPr/>
      </xdr:nvSpPr>
      <xdr:spPr>
        <a:xfrm>
          <a:off x="4638675" y="7322820"/>
          <a:ext cx="2724150" cy="314325"/>
        </a:xfrm>
        <a:prstGeom prst="snip1Rect">
          <a:avLst/>
        </a:prstGeom>
        <a:solidFill>
          <a:srgbClr val="7030A0"/>
        </a:solidFill>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lang="en-US" sz="1100" b="1">
              <a:solidFill>
                <a:schemeClr val="bg1"/>
              </a:solidFill>
            </a:rPr>
            <a:t>OTHER</a:t>
          </a:r>
        </a:p>
      </xdr:txBody>
    </xdr:sp>
    <xdr:clientData/>
  </xdr:twoCellAnchor>
  <xdr:twoCellAnchor>
    <xdr:from>
      <xdr:col>9</xdr:col>
      <xdr:colOff>171450</xdr:colOff>
      <xdr:row>16</xdr:row>
      <xdr:rowOff>491251</xdr:rowOff>
    </xdr:from>
    <xdr:to>
      <xdr:col>12</xdr:col>
      <xdr:colOff>466725</xdr:colOff>
      <xdr:row>17</xdr:row>
      <xdr:rowOff>300751</xdr:rowOff>
    </xdr:to>
    <xdr:sp macro="" textlink="">
      <xdr:nvSpPr>
        <xdr:cNvPr id="34" name="Snip Single Corner Rectangle 33">
          <a:hlinkClick xmlns:r="http://schemas.openxmlformats.org/officeDocument/2006/relationships" r:id="rId23"/>
          <a:extLst>
            <a:ext uri="{FF2B5EF4-FFF2-40B4-BE49-F238E27FC236}">
              <a16:creationId xmlns:a16="http://schemas.microsoft.com/office/drawing/2014/main" id="{00000000-0008-0000-0200-000022000000}"/>
            </a:ext>
          </a:extLst>
        </xdr:cNvPr>
        <xdr:cNvSpPr/>
      </xdr:nvSpPr>
      <xdr:spPr>
        <a:xfrm>
          <a:off x="4638675" y="6815851"/>
          <a:ext cx="2724150" cy="314325"/>
        </a:xfrm>
        <a:prstGeom prst="snip1Rect">
          <a:avLst/>
        </a:prstGeom>
        <a:solidFill>
          <a:schemeClr val="tx2"/>
        </a:solidFill>
        <a:ln w="38100" cap="flat" cmpd="sng" algn="ctr">
          <a:solidFill>
            <a:srgbClr val="FFFFFF"/>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Light"/>
              <a:cs typeface="Calibri Light"/>
            </a:rPr>
            <a:t>COLD CHAIN EXPANSION</a:t>
          </a:r>
        </a:p>
      </xdr:txBody>
    </xdr:sp>
    <xdr:clientData/>
  </xdr:twoCellAnchor>
  <xdr:twoCellAnchor>
    <xdr:from>
      <xdr:col>13</xdr:col>
      <xdr:colOff>76200</xdr:colOff>
      <xdr:row>16</xdr:row>
      <xdr:rowOff>485775</xdr:rowOff>
    </xdr:from>
    <xdr:to>
      <xdr:col>16</xdr:col>
      <xdr:colOff>733425</xdr:colOff>
      <xdr:row>17</xdr:row>
      <xdr:rowOff>295275</xdr:rowOff>
    </xdr:to>
    <xdr:sp macro="" textlink="">
      <xdr:nvSpPr>
        <xdr:cNvPr id="39" name="Snip Single Corner Rectangle 38">
          <a:hlinkClick xmlns:r="http://schemas.openxmlformats.org/officeDocument/2006/relationships" r:id="rId24"/>
          <a:extLst>
            <a:ext uri="{FF2B5EF4-FFF2-40B4-BE49-F238E27FC236}">
              <a16:creationId xmlns:a16="http://schemas.microsoft.com/office/drawing/2014/main" id="{00000000-0008-0000-0200-000027000000}"/>
            </a:ext>
          </a:extLst>
        </xdr:cNvPr>
        <xdr:cNvSpPr/>
      </xdr:nvSpPr>
      <xdr:spPr>
        <a:xfrm>
          <a:off x="9077325" y="6657975"/>
          <a:ext cx="2466975" cy="314325"/>
        </a:xfrm>
        <a:prstGeom prst="snip1Rect">
          <a:avLst/>
        </a:prstGeom>
        <a:solidFill>
          <a:srgbClr val="1F497D"/>
        </a:solidFill>
        <a:ln w="38100" cap="flat" cmpd="sng" algn="ctr">
          <a:solidFill>
            <a:srgbClr val="FFFFFF"/>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FFFF"/>
              </a:solidFill>
              <a:effectLst/>
              <a:uLnTx/>
              <a:uFillTx/>
              <a:latin typeface="Calibri Light"/>
              <a:cs typeface="Calibri Light"/>
            </a:rPr>
            <a:t>DETAILED  COLD CHAIN EXPANSION</a:t>
          </a:r>
        </a:p>
      </xdr:txBody>
    </xdr:sp>
    <xdr:clientData/>
  </xdr:twoCellAnchor>
  <xdr:twoCellAnchor editAs="oneCell">
    <xdr:from>
      <xdr:col>5</xdr:col>
      <xdr:colOff>85725</xdr:colOff>
      <xdr:row>6</xdr:row>
      <xdr:rowOff>76200</xdr:rowOff>
    </xdr:from>
    <xdr:to>
      <xdr:col>5</xdr:col>
      <xdr:colOff>600075</xdr:colOff>
      <xdr:row>7</xdr:row>
      <xdr:rowOff>247650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123950" y="1352550"/>
          <a:ext cx="514350" cy="514350"/>
        </a:xfrm>
        <a:prstGeom prst="rect">
          <a:avLst/>
        </a:prstGeom>
      </xdr:spPr>
    </xdr:pic>
    <xdr:clientData/>
  </xdr:twoCellAnchor>
  <xdr:twoCellAnchor editAs="oneCell">
    <xdr:from>
      <xdr:col>14</xdr:col>
      <xdr:colOff>314325</xdr:colOff>
      <xdr:row>7</xdr:row>
      <xdr:rowOff>19050</xdr:rowOff>
    </xdr:from>
    <xdr:to>
      <xdr:col>14</xdr:col>
      <xdr:colOff>790575</xdr:colOff>
      <xdr:row>7</xdr:row>
      <xdr:rowOff>495300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401175" y="1752600"/>
          <a:ext cx="476250" cy="476250"/>
        </a:xfrm>
        <a:prstGeom prst="rect">
          <a:avLst/>
        </a:prstGeom>
      </xdr:spPr>
    </xdr:pic>
    <xdr:clientData/>
  </xdr:twoCellAnchor>
  <xdr:twoCellAnchor editAs="oneCell">
    <xdr:from>
      <xdr:col>9</xdr:col>
      <xdr:colOff>647700</xdr:colOff>
      <xdr:row>7</xdr:row>
      <xdr:rowOff>28575</xdr:rowOff>
    </xdr:from>
    <xdr:to>
      <xdr:col>10</xdr:col>
      <xdr:colOff>314325</xdr:colOff>
      <xdr:row>8</xdr:row>
      <xdr:rowOff>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305550" y="1762125"/>
          <a:ext cx="476250" cy="476250"/>
        </a:xfrm>
        <a:prstGeom prst="rect">
          <a:avLst/>
        </a:prstGeom>
      </xdr:spPr>
    </xdr:pic>
    <xdr:clientData/>
  </xdr:twoCellAnchor>
  <xdr:twoCellAnchor editAs="oneCell">
    <xdr:from>
      <xdr:col>18</xdr:col>
      <xdr:colOff>533400</xdr:colOff>
      <xdr:row>6</xdr:row>
      <xdr:rowOff>314325</xdr:rowOff>
    </xdr:from>
    <xdr:to>
      <xdr:col>19</xdr:col>
      <xdr:colOff>314325</xdr:colOff>
      <xdr:row>8</xdr:row>
      <xdr:rowOff>57150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858625" y="1590675"/>
          <a:ext cx="590550" cy="590550"/>
        </a:xfrm>
        <a:prstGeom prst="rect">
          <a:avLst/>
        </a:prstGeom>
      </xdr:spPr>
    </xdr:pic>
    <xdr:clientData/>
  </xdr:twoCellAnchor>
  <xdr:twoCellAnchor editAs="oneCell">
    <xdr:from>
      <xdr:col>20</xdr:col>
      <xdr:colOff>342900</xdr:colOff>
      <xdr:row>6</xdr:row>
      <xdr:rowOff>314325</xdr:rowOff>
    </xdr:from>
    <xdr:to>
      <xdr:col>21</xdr:col>
      <xdr:colOff>9525</xdr:colOff>
      <xdr:row>7</xdr:row>
      <xdr:rowOff>447675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3287375" y="1590675"/>
          <a:ext cx="476250" cy="476250"/>
        </a:xfrm>
        <a:prstGeom prst="rect">
          <a:avLst/>
        </a:prstGeom>
      </xdr:spPr>
    </xdr:pic>
    <xdr:clientData/>
  </xdr:twoCellAnchor>
  <xdr:twoCellAnchor>
    <xdr:from>
      <xdr:col>18</xdr:col>
      <xdr:colOff>485775</xdr:colOff>
      <xdr:row>8</xdr:row>
      <xdr:rowOff>276225</xdr:rowOff>
    </xdr:from>
    <xdr:to>
      <xdr:col>21</xdr:col>
      <xdr:colOff>228600</xdr:colOff>
      <xdr:row>13</xdr:row>
      <xdr:rowOff>104776</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11066145" y="2516505"/>
          <a:ext cx="1945005" cy="2348866"/>
          <a:chOff x="12192000" y="2505075"/>
          <a:chExt cx="2171700" cy="2352676"/>
        </a:xfrm>
      </xdr:grpSpPr>
      <xdr:sp macro="" textlink="">
        <xdr:nvSpPr>
          <xdr:cNvPr id="31" name="Round Same Side Corner Rectangle 30">
            <a:hlinkClick xmlns:r="http://schemas.openxmlformats.org/officeDocument/2006/relationships" r:id="rId30"/>
            <a:extLst>
              <a:ext uri="{FF2B5EF4-FFF2-40B4-BE49-F238E27FC236}">
                <a16:creationId xmlns:a16="http://schemas.microsoft.com/office/drawing/2014/main" id="{00000000-0008-0000-0200-00001F000000}"/>
              </a:ext>
            </a:extLst>
          </xdr:cNvPr>
          <xdr:cNvSpPr/>
        </xdr:nvSpPr>
        <xdr:spPr>
          <a:xfrm>
            <a:off x="12192000" y="3014663"/>
            <a:ext cx="2171700" cy="314326"/>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DASHBOARD SUMMARY</a:t>
            </a:r>
          </a:p>
        </xdr:txBody>
      </xdr:sp>
      <xdr:sp macro="" textlink="">
        <xdr:nvSpPr>
          <xdr:cNvPr id="35" name="Round Same Side Corner Rectangle 34">
            <a:hlinkClick xmlns:r="http://schemas.openxmlformats.org/officeDocument/2006/relationships" r:id="rId31"/>
            <a:extLst>
              <a:ext uri="{FF2B5EF4-FFF2-40B4-BE49-F238E27FC236}">
                <a16:creationId xmlns:a16="http://schemas.microsoft.com/office/drawing/2014/main" id="{00000000-0008-0000-0200-000023000000}"/>
              </a:ext>
            </a:extLst>
          </xdr:cNvPr>
          <xdr:cNvSpPr/>
        </xdr:nvSpPr>
        <xdr:spPr>
          <a:xfrm>
            <a:off x="12192000" y="3524251"/>
            <a:ext cx="2171700" cy="314326"/>
          </a:xfrm>
          <a:prstGeom prst="round2Same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SERVICE  DELIVER</a:t>
            </a:r>
            <a:r>
              <a:rPr lang="en-US" sz="1100" b="1" baseline="0"/>
              <a:t>Y ANALYSIS</a:t>
            </a:r>
            <a:endParaRPr lang="en-US" sz="1100" b="1"/>
          </a:p>
        </xdr:txBody>
      </xdr:sp>
      <xdr:sp macro="" textlink="">
        <xdr:nvSpPr>
          <xdr:cNvPr id="36" name="Round Same Side Corner Rectangle 35">
            <a:hlinkClick xmlns:r="http://schemas.openxmlformats.org/officeDocument/2006/relationships" r:id="rId32"/>
            <a:extLst>
              <a:ext uri="{FF2B5EF4-FFF2-40B4-BE49-F238E27FC236}">
                <a16:creationId xmlns:a16="http://schemas.microsoft.com/office/drawing/2014/main" id="{00000000-0008-0000-0200-000024000000}"/>
              </a:ext>
            </a:extLst>
          </xdr:cNvPr>
          <xdr:cNvSpPr/>
        </xdr:nvSpPr>
        <xdr:spPr>
          <a:xfrm>
            <a:off x="12192000" y="2505075"/>
            <a:ext cx="2171700" cy="314326"/>
          </a:xfrm>
          <a:prstGeom prst="round2Same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TABLE OF CONTENTS</a:t>
            </a:r>
          </a:p>
        </xdr:txBody>
      </xdr:sp>
      <xdr:sp macro="" textlink="">
        <xdr:nvSpPr>
          <xdr:cNvPr id="37" name="Round Same Side Corner Rectangle 36">
            <a:hlinkClick xmlns:r="http://schemas.openxmlformats.org/officeDocument/2006/relationships" r:id="rId33"/>
            <a:extLst>
              <a:ext uri="{FF2B5EF4-FFF2-40B4-BE49-F238E27FC236}">
                <a16:creationId xmlns:a16="http://schemas.microsoft.com/office/drawing/2014/main" id="{00000000-0008-0000-0200-000025000000}"/>
              </a:ext>
            </a:extLst>
          </xdr:cNvPr>
          <xdr:cNvSpPr/>
        </xdr:nvSpPr>
        <xdr:spPr>
          <a:xfrm>
            <a:off x="12192000" y="4033839"/>
            <a:ext cx="2171700" cy="314326"/>
          </a:xfrm>
          <a:prstGeom prst="round2Same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INCREMENTAL COST ANALYSIS</a:t>
            </a:r>
          </a:p>
        </xdr:txBody>
      </xdr:sp>
      <xdr:sp macro="" textlink="">
        <xdr:nvSpPr>
          <xdr:cNvPr id="43" name="Round Same Side Corner Rectangle 42">
            <a:hlinkClick xmlns:r="http://schemas.openxmlformats.org/officeDocument/2006/relationships" r:id="rId34"/>
            <a:extLst>
              <a:ext uri="{FF2B5EF4-FFF2-40B4-BE49-F238E27FC236}">
                <a16:creationId xmlns:a16="http://schemas.microsoft.com/office/drawing/2014/main" id="{00000000-0008-0000-0200-00002B000000}"/>
              </a:ext>
            </a:extLst>
          </xdr:cNvPr>
          <xdr:cNvSpPr/>
        </xdr:nvSpPr>
        <xdr:spPr>
          <a:xfrm>
            <a:off x="12192000" y="4543425"/>
            <a:ext cx="2171700" cy="314326"/>
          </a:xfrm>
          <a:prstGeom prst="round2Same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t>GRAPHS</a:t>
            </a:r>
            <a:r>
              <a:rPr lang="en-US" sz="1100" b="1" baseline="0"/>
              <a:t> &amp; CHARTS</a:t>
            </a:r>
            <a:endParaRPr lang="en-US" sz="1100" b="1"/>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0</xdr:row>
      <xdr:rowOff>285750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6</xdr:col>
      <xdr:colOff>0</xdr:colOff>
      <xdr:row>0</xdr:row>
      <xdr:rowOff>0</xdr:rowOff>
    </xdr:from>
    <xdr:to>
      <xdr:col>6</xdr:col>
      <xdr:colOff>495238</xdr:colOff>
      <xdr:row>0</xdr:row>
      <xdr:rowOff>495238</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3"/>
        <a:stretch>
          <a:fillRect/>
        </a:stretch>
      </xdr:blipFill>
      <xdr:spPr>
        <a:xfrm>
          <a:off x="2266950" y="0"/>
          <a:ext cx="495238" cy="49523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8</xdr:col>
          <xdr:colOff>0</xdr:colOff>
          <xdr:row>178</xdr:row>
          <xdr:rowOff>0</xdr:rowOff>
        </xdr:to>
        <xdr:sp macro="" textlink="">
          <xdr:nvSpPr>
            <xdr:cNvPr id="218147" name="bpmDropDownFLU35" hidden="1">
              <a:extLst>
                <a:ext uri="{63B3BB69-23CF-44E3-9099-C40C66FF867C}">
                  <a14:compatExt spid="_x0000_s218147"/>
                </a:ext>
                <a:ext uri="{FF2B5EF4-FFF2-40B4-BE49-F238E27FC236}">
                  <a16:creationId xmlns:a16="http://schemas.microsoft.com/office/drawing/2014/main" id="{00000000-0008-0000-2200-000023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0</xdr:rowOff>
        </xdr:from>
        <xdr:to>
          <xdr:col>8</xdr:col>
          <xdr:colOff>0</xdr:colOff>
          <xdr:row>180</xdr:row>
          <xdr:rowOff>0</xdr:rowOff>
        </xdr:to>
        <xdr:sp macro="" textlink="">
          <xdr:nvSpPr>
            <xdr:cNvPr id="218148" name="bpmDropDownFLU36" hidden="1">
              <a:extLst>
                <a:ext uri="{63B3BB69-23CF-44E3-9099-C40C66FF867C}">
                  <a14:compatExt spid="_x0000_s218148"/>
                </a:ext>
                <a:ext uri="{FF2B5EF4-FFF2-40B4-BE49-F238E27FC236}">
                  <a16:creationId xmlns:a16="http://schemas.microsoft.com/office/drawing/2014/main" id="{00000000-0008-0000-2200-000024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0</xdr:rowOff>
        </xdr:from>
        <xdr:to>
          <xdr:col>8</xdr:col>
          <xdr:colOff>0</xdr:colOff>
          <xdr:row>181</xdr:row>
          <xdr:rowOff>0</xdr:rowOff>
        </xdr:to>
        <xdr:sp macro="" textlink="">
          <xdr:nvSpPr>
            <xdr:cNvPr id="218149" name="bpmDropDownFLU37" hidden="1">
              <a:extLst>
                <a:ext uri="{63B3BB69-23CF-44E3-9099-C40C66FF867C}">
                  <a14:compatExt spid="_x0000_s218149"/>
                </a:ext>
                <a:ext uri="{FF2B5EF4-FFF2-40B4-BE49-F238E27FC236}">
                  <a16:creationId xmlns:a16="http://schemas.microsoft.com/office/drawing/2014/main" id="{00000000-0008-0000-2200-000025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8</xdr:col>
          <xdr:colOff>0</xdr:colOff>
          <xdr:row>182</xdr:row>
          <xdr:rowOff>0</xdr:rowOff>
        </xdr:to>
        <xdr:sp macro="" textlink="">
          <xdr:nvSpPr>
            <xdr:cNvPr id="218150" name="bpmDropDownFLU38" hidden="1">
              <a:extLst>
                <a:ext uri="{63B3BB69-23CF-44E3-9099-C40C66FF867C}">
                  <a14:compatExt spid="_x0000_s218150"/>
                </a:ext>
                <a:ext uri="{FF2B5EF4-FFF2-40B4-BE49-F238E27FC236}">
                  <a16:creationId xmlns:a16="http://schemas.microsoft.com/office/drawing/2014/main" id="{00000000-0008-0000-2200-000026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0</xdr:rowOff>
        </xdr:from>
        <xdr:to>
          <xdr:col>8</xdr:col>
          <xdr:colOff>0</xdr:colOff>
          <xdr:row>183</xdr:row>
          <xdr:rowOff>0</xdr:rowOff>
        </xdr:to>
        <xdr:sp macro="" textlink="">
          <xdr:nvSpPr>
            <xdr:cNvPr id="218151" name="bpmDropDownFLU39" hidden="1">
              <a:extLst>
                <a:ext uri="{63B3BB69-23CF-44E3-9099-C40C66FF867C}">
                  <a14:compatExt spid="_x0000_s218151"/>
                </a:ext>
                <a:ext uri="{FF2B5EF4-FFF2-40B4-BE49-F238E27FC236}">
                  <a16:creationId xmlns:a16="http://schemas.microsoft.com/office/drawing/2014/main" id="{00000000-0008-0000-2200-000027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8</xdr:col>
          <xdr:colOff>0</xdr:colOff>
          <xdr:row>191</xdr:row>
          <xdr:rowOff>0</xdr:rowOff>
        </xdr:to>
        <xdr:sp macro="" textlink="">
          <xdr:nvSpPr>
            <xdr:cNvPr id="218181" name="bpmDropDownFLU69" hidden="1">
              <a:extLst>
                <a:ext uri="{63B3BB69-23CF-44E3-9099-C40C66FF867C}">
                  <a14:compatExt spid="_x0000_s218181"/>
                </a:ext>
                <a:ext uri="{FF2B5EF4-FFF2-40B4-BE49-F238E27FC236}">
                  <a16:creationId xmlns:a16="http://schemas.microsoft.com/office/drawing/2014/main" id="{00000000-0008-0000-2200-000045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0</xdr:rowOff>
        </xdr:from>
        <xdr:to>
          <xdr:col>8</xdr:col>
          <xdr:colOff>0</xdr:colOff>
          <xdr:row>193</xdr:row>
          <xdr:rowOff>0</xdr:rowOff>
        </xdr:to>
        <xdr:sp macro="" textlink="">
          <xdr:nvSpPr>
            <xdr:cNvPr id="218182" name="bpmDropDownFLU70" hidden="1">
              <a:extLst>
                <a:ext uri="{63B3BB69-23CF-44E3-9099-C40C66FF867C}">
                  <a14:compatExt spid="_x0000_s218182"/>
                </a:ext>
                <a:ext uri="{FF2B5EF4-FFF2-40B4-BE49-F238E27FC236}">
                  <a16:creationId xmlns:a16="http://schemas.microsoft.com/office/drawing/2014/main" id="{00000000-0008-0000-2200-000046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8</xdr:col>
          <xdr:colOff>0</xdr:colOff>
          <xdr:row>194</xdr:row>
          <xdr:rowOff>0</xdr:rowOff>
        </xdr:to>
        <xdr:sp macro="" textlink="">
          <xdr:nvSpPr>
            <xdr:cNvPr id="218183" name="bpmDropDownFLU71" hidden="1">
              <a:extLst>
                <a:ext uri="{63B3BB69-23CF-44E3-9099-C40C66FF867C}">
                  <a14:compatExt spid="_x0000_s218183"/>
                </a:ext>
                <a:ext uri="{FF2B5EF4-FFF2-40B4-BE49-F238E27FC236}">
                  <a16:creationId xmlns:a16="http://schemas.microsoft.com/office/drawing/2014/main" id="{00000000-0008-0000-2200-000047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194</xdr:row>
          <xdr:rowOff>0</xdr:rowOff>
        </xdr:from>
        <xdr:to>
          <xdr:col>8</xdr:col>
          <xdr:colOff>0</xdr:colOff>
          <xdr:row>195</xdr:row>
          <xdr:rowOff>0</xdr:rowOff>
        </xdr:to>
        <xdr:sp macro="" textlink="">
          <xdr:nvSpPr>
            <xdr:cNvPr id="218184" name="bpmDropDownFLU72" hidden="1">
              <a:extLst>
                <a:ext uri="{63B3BB69-23CF-44E3-9099-C40C66FF867C}">
                  <a14:compatExt spid="_x0000_s218184"/>
                </a:ext>
                <a:ext uri="{FF2B5EF4-FFF2-40B4-BE49-F238E27FC236}">
                  <a16:creationId xmlns:a16="http://schemas.microsoft.com/office/drawing/2014/main" id="{00000000-0008-0000-2200-000048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195</xdr:row>
          <xdr:rowOff>0</xdr:rowOff>
        </xdr:from>
        <xdr:to>
          <xdr:col>8</xdr:col>
          <xdr:colOff>0</xdr:colOff>
          <xdr:row>196</xdr:row>
          <xdr:rowOff>0</xdr:rowOff>
        </xdr:to>
        <xdr:sp macro="" textlink="">
          <xdr:nvSpPr>
            <xdr:cNvPr id="218185" name="bpmDropDownFLU73" hidden="1">
              <a:extLst>
                <a:ext uri="{63B3BB69-23CF-44E3-9099-C40C66FF867C}">
                  <a14:compatExt spid="_x0000_s218185"/>
                </a:ext>
                <a:ext uri="{FF2B5EF4-FFF2-40B4-BE49-F238E27FC236}">
                  <a16:creationId xmlns:a16="http://schemas.microsoft.com/office/drawing/2014/main" id="{00000000-0008-0000-2200-000049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8</xdr:col>
          <xdr:colOff>0</xdr:colOff>
          <xdr:row>197</xdr:row>
          <xdr:rowOff>0</xdr:rowOff>
        </xdr:to>
        <xdr:sp macro="" textlink="">
          <xdr:nvSpPr>
            <xdr:cNvPr id="218186" name="bpmDropDownFLU74" hidden="1">
              <a:extLst>
                <a:ext uri="{63B3BB69-23CF-44E3-9099-C40C66FF867C}">
                  <a14:compatExt spid="_x0000_s218186"/>
                </a:ext>
                <a:ext uri="{FF2B5EF4-FFF2-40B4-BE49-F238E27FC236}">
                  <a16:creationId xmlns:a16="http://schemas.microsoft.com/office/drawing/2014/main" id="{00000000-0008-0000-2200-00004A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204</xdr:row>
          <xdr:rowOff>0</xdr:rowOff>
        </xdr:from>
        <xdr:to>
          <xdr:col>8</xdr:col>
          <xdr:colOff>0</xdr:colOff>
          <xdr:row>205</xdr:row>
          <xdr:rowOff>0</xdr:rowOff>
        </xdr:to>
        <xdr:sp macro="" textlink="">
          <xdr:nvSpPr>
            <xdr:cNvPr id="218187" name="bpmDropDownFLU75" hidden="1">
              <a:extLst>
                <a:ext uri="{63B3BB69-23CF-44E3-9099-C40C66FF867C}">
                  <a14:compatExt spid="_x0000_s218187"/>
                </a:ext>
                <a:ext uri="{FF2B5EF4-FFF2-40B4-BE49-F238E27FC236}">
                  <a16:creationId xmlns:a16="http://schemas.microsoft.com/office/drawing/2014/main" id="{00000000-0008-0000-2200-00004B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206</xdr:row>
          <xdr:rowOff>0</xdr:rowOff>
        </xdr:from>
        <xdr:to>
          <xdr:col>8</xdr:col>
          <xdr:colOff>0</xdr:colOff>
          <xdr:row>207</xdr:row>
          <xdr:rowOff>0</xdr:rowOff>
        </xdr:to>
        <xdr:sp macro="" textlink="">
          <xdr:nvSpPr>
            <xdr:cNvPr id="218188" name="bpmDropDownFLU76" hidden="1">
              <a:extLst>
                <a:ext uri="{63B3BB69-23CF-44E3-9099-C40C66FF867C}">
                  <a14:compatExt spid="_x0000_s218188"/>
                </a:ext>
                <a:ext uri="{FF2B5EF4-FFF2-40B4-BE49-F238E27FC236}">
                  <a16:creationId xmlns:a16="http://schemas.microsoft.com/office/drawing/2014/main" id="{00000000-0008-0000-2200-00004C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207</xdr:row>
          <xdr:rowOff>0</xdr:rowOff>
        </xdr:from>
        <xdr:to>
          <xdr:col>8</xdr:col>
          <xdr:colOff>0</xdr:colOff>
          <xdr:row>208</xdr:row>
          <xdr:rowOff>0</xdr:rowOff>
        </xdr:to>
        <xdr:sp macro="" textlink="">
          <xdr:nvSpPr>
            <xdr:cNvPr id="218191" name="bpmDropDownFLU79" hidden="1">
              <a:extLst>
                <a:ext uri="{63B3BB69-23CF-44E3-9099-C40C66FF867C}">
                  <a14:compatExt spid="_x0000_s218191"/>
                </a:ext>
                <a:ext uri="{FF2B5EF4-FFF2-40B4-BE49-F238E27FC236}">
                  <a16:creationId xmlns:a16="http://schemas.microsoft.com/office/drawing/2014/main" id="{00000000-0008-0000-2200-00004F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8</xdr:col>
          <xdr:colOff>0</xdr:colOff>
          <xdr:row>209</xdr:row>
          <xdr:rowOff>0</xdr:rowOff>
        </xdr:to>
        <xdr:sp macro="" textlink="">
          <xdr:nvSpPr>
            <xdr:cNvPr id="218192" name="bpmDropDownFLU80" hidden="1">
              <a:extLst>
                <a:ext uri="{63B3BB69-23CF-44E3-9099-C40C66FF867C}">
                  <a14:compatExt spid="_x0000_s218192"/>
                </a:ext>
                <a:ext uri="{FF2B5EF4-FFF2-40B4-BE49-F238E27FC236}">
                  <a16:creationId xmlns:a16="http://schemas.microsoft.com/office/drawing/2014/main" id="{00000000-0008-0000-2200-000050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209</xdr:row>
          <xdr:rowOff>0</xdr:rowOff>
        </xdr:from>
        <xdr:to>
          <xdr:col>8</xdr:col>
          <xdr:colOff>0</xdr:colOff>
          <xdr:row>210</xdr:row>
          <xdr:rowOff>0</xdr:rowOff>
        </xdr:to>
        <xdr:sp macro="" textlink="">
          <xdr:nvSpPr>
            <xdr:cNvPr id="218206" name="bpmDropDownFLU94" hidden="1">
              <a:extLst>
                <a:ext uri="{63B3BB69-23CF-44E3-9099-C40C66FF867C}">
                  <a14:compatExt spid="_x0000_s218206"/>
                </a:ext>
                <a:ext uri="{FF2B5EF4-FFF2-40B4-BE49-F238E27FC236}">
                  <a16:creationId xmlns:a16="http://schemas.microsoft.com/office/drawing/2014/main" id="{00000000-0008-0000-2200-00005E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222</xdr:row>
          <xdr:rowOff>0</xdr:rowOff>
        </xdr:from>
        <xdr:to>
          <xdr:col>8</xdr:col>
          <xdr:colOff>0</xdr:colOff>
          <xdr:row>223</xdr:row>
          <xdr:rowOff>0</xdr:rowOff>
        </xdr:to>
        <xdr:sp macro="" textlink="">
          <xdr:nvSpPr>
            <xdr:cNvPr id="218221" name="bpmDropDownFLU109" hidden="1">
              <a:extLst>
                <a:ext uri="{63B3BB69-23CF-44E3-9099-C40C66FF867C}">
                  <a14:compatExt spid="_x0000_s218221"/>
                </a:ext>
                <a:ext uri="{FF2B5EF4-FFF2-40B4-BE49-F238E27FC236}">
                  <a16:creationId xmlns:a16="http://schemas.microsoft.com/office/drawing/2014/main" id="{00000000-0008-0000-2200-00006D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8</xdr:col>
          <xdr:colOff>0</xdr:colOff>
          <xdr:row>224</xdr:row>
          <xdr:rowOff>0</xdr:rowOff>
        </xdr:to>
        <xdr:sp macro="" textlink="">
          <xdr:nvSpPr>
            <xdr:cNvPr id="218222" name="bpmDropDownFLU110" hidden="1">
              <a:extLst>
                <a:ext uri="{63B3BB69-23CF-44E3-9099-C40C66FF867C}">
                  <a14:compatExt spid="_x0000_s218222"/>
                </a:ext>
                <a:ext uri="{FF2B5EF4-FFF2-40B4-BE49-F238E27FC236}">
                  <a16:creationId xmlns:a16="http://schemas.microsoft.com/office/drawing/2014/main" id="{00000000-0008-0000-2200-00006E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224</xdr:row>
          <xdr:rowOff>0</xdr:rowOff>
        </xdr:from>
        <xdr:to>
          <xdr:col>8</xdr:col>
          <xdr:colOff>0</xdr:colOff>
          <xdr:row>225</xdr:row>
          <xdr:rowOff>0</xdr:rowOff>
        </xdr:to>
        <xdr:sp macro="" textlink="">
          <xdr:nvSpPr>
            <xdr:cNvPr id="218223" name="bpmDropDownFLU111" hidden="1">
              <a:extLst>
                <a:ext uri="{63B3BB69-23CF-44E3-9099-C40C66FF867C}">
                  <a14:compatExt spid="_x0000_s218223"/>
                </a:ext>
                <a:ext uri="{FF2B5EF4-FFF2-40B4-BE49-F238E27FC236}">
                  <a16:creationId xmlns:a16="http://schemas.microsoft.com/office/drawing/2014/main" id="{00000000-0008-0000-2200-00006F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8</xdr:col>
          <xdr:colOff>0</xdr:colOff>
          <xdr:row>226</xdr:row>
          <xdr:rowOff>0</xdr:rowOff>
        </xdr:to>
        <xdr:sp macro="" textlink="">
          <xdr:nvSpPr>
            <xdr:cNvPr id="218224" name="bpmDropDownFLU112" hidden="1">
              <a:extLst>
                <a:ext uri="{63B3BB69-23CF-44E3-9099-C40C66FF867C}">
                  <a14:compatExt spid="_x0000_s218224"/>
                </a:ext>
                <a:ext uri="{FF2B5EF4-FFF2-40B4-BE49-F238E27FC236}">
                  <a16:creationId xmlns:a16="http://schemas.microsoft.com/office/drawing/2014/main" id="{00000000-0008-0000-2200-000070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8</xdr:col>
          <xdr:colOff>0</xdr:colOff>
          <xdr:row>227</xdr:row>
          <xdr:rowOff>0</xdr:rowOff>
        </xdr:to>
        <xdr:sp macro="" textlink="">
          <xdr:nvSpPr>
            <xdr:cNvPr id="218225" name="bpmDropDownFLU113" hidden="1">
              <a:extLst>
                <a:ext uri="{63B3BB69-23CF-44E3-9099-C40C66FF867C}">
                  <a14:compatExt spid="_x0000_s218225"/>
                </a:ext>
                <a:ext uri="{FF2B5EF4-FFF2-40B4-BE49-F238E27FC236}">
                  <a16:creationId xmlns:a16="http://schemas.microsoft.com/office/drawing/2014/main" id="{00000000-0008-0000-2200-000071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178</xdr:row>
          <xdr:rowOff>0</xdr:rowOff>
        </xdr:from>
        <xdr:to>
          <xdr:col>8</xdr:col>
          <xdr:colOff>0</xdr:colOff>
          <xdr:row>179</xdr:row>
          <xdr:rowOff>0</xdr:rowOff>
        </xdr:to>
        <xdr:sp macro="" textlink="">
          <xdr:nvSpPr>
            <xdr:cNvPr id="218231" name="bpmDropDownFLU5" hidden="1">
              <a:extLst>
                <a:ext uri="{63B3BB69-23CF-44E3-9099-C40C66FF867C}">
                  <a14:compatExt spid="_x0000_s218231"/>
                </a:ext>
                <a:ext uri="{FF2B5EF4-FFF2-40B4-BE49-F238E27FC236}">
                  <a16:creationId xmlns:a16="http://schemas.microsoft.com/office/drawing/2014/main" id="{00000000-0008-0000-2200-000077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8</xdr:col>
          <xdr:colOff>0</xdr:colOff>
          <xdr:row>206</xdr:row>
          <xdr:rowOff>0</xdr:rowOff>
        </xdr:to>
        <xdr:sp macro="" textlink="">
          <xdr:nvSpPr>
            <xdr:cNvPr id="218310" name="bpmDropDownFLU539" hidden="1">
              <a:extLst>
                <a:ext uri="{63B3BB69-23CF-44E3-9099-C40C66FF867C}">
                  <a14:compatExt spid="_x0000_s218310"/>
                </a:ext>
                <a:ext uri="{FF2B5EF4-FFF2-40B4-BE49-F238E27FC236}">
                  <a16:creationId xmlns:a16="http://schemas.microsoft.com/office/drawing/2014/main" id="{00000000-0008-0000-2200-0000C6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191</xdr:row>
          <xdr:rowOff>0</xdr:rowOff>
        </xdr:from>
        <xdr:to>
          <xdr:col>8</xdr:col>
          <xdr:colOff>0</xdr:colOff>
          <xdr:row>192</xdr:row>
          <xdr:rowOff>0</xdr:rowOff>
        </xdr:to>
        <xdr:sp macro="" textlink="">
          <xdr:nvSpPr>
            <xdr:cNvPr id="218311" name="bpmDropDownFLU592" hidden="1">
              <a:extLst>
                <a:ext uri="{63B3BB69-23CF-44E3-9099-C40C66FF867C}">
                  <a14:compatExt spid="_x0000_s218311"/>
                </a:ext>
                <a:ext uri="{FF2B5EF4-FFF2-40B4-BE49-F238E27FC236}">
                  <a16:creationId xmlns:a16="http://schemas.microsoft.com/office/drawing/2014/main" id="{00000000-0008-0000-2200-0000C7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210</xdr:row>
          <xdr:rowOff>0</xdr:rowOff>
        </xdr:from>
        <xdr:to>
          <xdr:col>8</xdr:col>
          <xdr:colOff>0</xdr:colOff>
          <xdr:row>211</xdr:row>
          <xdr:rowOff>0</xdr:rowOff>
        </xdr:to>
        <xdr:sp macro="" textlink="">
          <xdr:nvSpPr>
            <xdr:cNvPr id="218312" name="bpmDropDownFLU593" hidden="1">
              <a:extLst>
                <a:ext uri="{63B3BB69-23CF-44E3-9099-C40C66FF867C}">
                  <a14:compatExt spid="_x0000_s218312"/>
                </a:ext>
                <a:ext uri="{FF2B5EF4-FFF2-40B4-BE49-F238E27FC236}">
                  <a16:creationId xmlns:a16="http://schemas.microsoft.com/office/drawing/2014/main" id="{00000000-0008-0000-2200-0000C8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8</xdr:col>
          <xdr:colOff>0</xdr:colOff>
          <xdr:row>212</xdr:row>
          <xdr:rowOff>0</xdr:rowOff>
        </xdr:to>
        <xdr:sp macro="" textlink="">
          <xdr:nvSpPr>
            <xdr:cNvPr id="218313" name="bpmDropDownFLU594" hidden="1">
              <a:extLst>
                <a:ext uri="{63B3BB69-23CF-44E3-9099-C40C66FF867C}">
                  <a14:compatExt spid="_x0000_s218313"/>
                </a:ext>
                <a:ext uri="{FF2B5EF4-FFF2-40B4-BE49-F238E27FC236}">
                  <a16:creationId xmlns:a16="http://schemas.microsoft.com/office/drawing/2014/main" id="{00000000-0008-0000-2200-0000C9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212</xdr:row>
          <xdr:rowOff>0</xdr:rowOff>
        </xdr:from>
        <xdr:to>
          <xdr:col>8</xdr:col>
          <xdr:colOff>0</xdr:colOff>
          <xdr:row>213</xdr:row>
          <xdr:rowOff>0</xdr:rowOff>
        </xdr:to>
        <xdr:sp macro="" textlink="">
          <xdr:nvSpPr>
            <xdr:cNvPr id="218314" name="bpmDropDownFLU595" hidden="1">
              <a:extLst>
                <a:ext uri="{63B3BB69-23CF-44E3-9099-C40C66FF867C}">
                  <a14:compatExt spid="_x0000_s218314"/>
                </a:ext>
                <a:ext uri="{FF2B5EF4-FFF2-40B4-BE49-F238E27FC236}">
                  <a16:creationId xmlns:a16="http://schemas.microsoft.com/office/drawing/2014/main" id="{00000000-0008-0000-2200-0000CA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0</xdr:rowOff>
        </xdr:from>
        <xdr:to>
          <xdr:col>8</xdr:col>
          <xdr:colOff>0</xdr:colOff>
          <xdr:row>214</xdr:row>
          <xdr:rowOff>0</xdr:rowOff>
        </xdr:to>
        <xdr:sp macro="" textlink="">
          <xdr:nvSpPr>
            <xdr:cNvPr id="218315" name="bpmDropDownFLU596" hidden="1">
              <a:extLst>
                <a:ext uri="{63B3BB69-23CF-44E3-9099-C40C66FF867C}">
                  <a14:compatExt spid="_x0000_s218315"/>
                </a:ext>
                <a:ext uri="{FF2B5EF4-FFF2-40B4-BE49-F238E27FC236}">
                  <a16:creationId xmlns:a16="http://schemas.microsoft.com/office/drawing/2014/main" id="{00000000-0008-0000-2200-0000CB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8</xdr:col>
          <xdr:colOff>0</xdr:colOff>
          <xdr:row>215</xdr:row>
          <xdr:rowOff>0</xdr:rowOff>
        </xdr:to>
        <xdr:sp macro="" textlink="">
          <xdr:nvSpPr>
            <xdr:cNvPr id="218316" name="bpmDropDownFLU597" hidden="1">
              <a:extLst>
                <a:ext uri="{63B3BB69-23CF-44E3-9099-C40C66FF867C}">
                  <a14:compatExt spid="_x0000_s218316"/>
                </a:ext>
                <a:ext uri="{FF2B5EF4-FFF2-40B4-BE49-F238E27FC236}">
                  <a16:creationId xmlns:a16="http://schemas.microsoft.com/office/drawing/2014/main" id="{00000000-0008-0000-2200-0000CC5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0</xdr:colOff>
      <xdr:row>0</xdr:row>
      <xdr:rowOff>0</xdr:rowOff>
    </xdr:from>
    <xdr:to>
      <xdr:col>1</xdr:col>
      <xdr:colOff>9525</xdr:colOff>
      <xdr:row>0</xdr:row>
      <xdr:rowOff>285750</xdr:rowOff>
    </xdr:to>
    <xdr:pic>
      <xdr:nvPicPr>
        <xdr:cNvPr id="31" name="Picture 1">
          <a:hlinkClick xmlns:r="http://schemas.openxmlformats.org/officeDocument/2006/relationships" r:id="rId1"/>
          <a:extLst>
            <a:ext uri="{FF2B5EF4-FFF2-40B4-BE49-F238E27FC236}">
              <a16:creationId xmlns:a16="http://schemas.microsoft.com/office/drawing/2014/main" id="{00000000-0008-0000-2200-00001F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6</xdr:col>
      <xdr:colOff>76200</xdr:colOff>
      <xdr:row>0</xdr:row>
      <xdr:rowOff>95250</xdr:rowOff>
    </xdr:from>
    <xdr:to>
      <xdr:col>6</xdr:col>
      <xdr:colOff>533343</xdr:colOff>
      <xdr:row>0</xdr:row>
      <xdr:rowOff>552393</xdr:rowOff>
    </xdr:to>
    <xdr:pic>
      <xdr:nvPicPr>
        <xdr:cNvPr id="2" name="Picture 2">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3"/>
        <a:stretch>
          <a:fillRect/>
        </a:stretch>
      </xdr:blipFill>
      <xdr:spPr>
        <a:xfrm>
          <a:off x="2343150" y="95250"/>
          <a:ext cx="457143" cy="457143"/>
        </a:xfrm>
        <a:prstGeom prst="rect">
          <a:avLst/>
        </a:prstGeom>
      </xdr:spPr>
    </xdr:pic>
    <xdr:clientData/>
  </xdr:twoCellAnchor>
  <xdr:twoCellAnchor editAs="oneCell">
    <xdr:from>
      <xdr:col>6</xdr:col>
      <xdr:colOff>666750</xdr:colOff>
      <xdr:row>0</xdr:row>
      <xdr:rowOff>76200</xdr:rowOff>
    </xdr:from>
    <xdr:to>
      <xdr:col>7</xdr:col>
      <xdr:colOff>276163</xdr:colOff>
      <xdr:row>0</xdr:row>
      <xdr:rowOff>571438</xdr:rowOff>
    </xdr:to>
    <xdr:pic>
      <xdr:nvPicPr>
        <xdr:cNvPr id="3" name="Picture 3">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4"/>
        <a:stretch>
          <a:fillRect/>
        </a:stretch>
      </xdr:blipFill>
      <xdr:spPr>
        <a:xfrm>
          <a:off x="2933700" y="76200"/>
          <a:ext cx="495238" cy="49523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857250</xdr:colOff>
      <xdr:row>0</xdr:row>
      <xdr:rowOff>133350</xdr:rowOff>
    </xdr:from>
    <xdr:to>
      <xdr:col>8</xdr:col>
      <xdr:colOff>428568</xdr:colOff>
      <xdr:row>2</xdr:row>
      <xdr:rowOff>85668</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7667625" y="133350"/>
          <a:ext cx="457143" cy="457143"/>
        </a:xfrm>
        <a:prstGeom prst="rect">
          <a:avLst/>
        </a:prstGeom>
      </xdr:spPr>
    </xdr:pic>
    <xdr:clientData/>
  </xdr:twoCellAnchor>
  <xdr:twoCellAnchor editAs="oneCell">
    <xdr:from>
      <xdr:col>7</xdr:col>
      <xdr:colOff>304800</xdr:colOff>
      <xdr:row>0</xdr:row>
      <xdr:rowOff>104776</xdr:rowOff>
    </xdr:from>
    <xdr:to>
      <xdr:col>7</xdr:col>
      <xdr:colOff>784122</xdr:colOff>
      <xdr:row>2</xdr:row>
      <xdr:rowOff>95251</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flipH="1">
          <a:off x="7115175" y="104776"/>
          <a:ext cx="479322" cy="4953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342900</xdr:colOff>
      <xdr:row>0</xdr:row>
      <xdr:rowOff>161925</xdr:rowOff>
    </xdr:from>
    <xdr:to>
      <xdr:col>7</xdr:col>
      <xdr:colOff>800043</xdr:colOff>
      <xdr:row>2</xdr:row>
      <xdr:rowOff>114243</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7153275" y="161925"/>
          <a:ext cx="457143" cy="4571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487680</xdr:colOff>
          <xdr:row>9</xdr:row>
          <xdr:rowOff>0</xdr:rowOff>
        </xdr:to>
        <xdr:sp macro="" textlink="">
          <xdr:nvSpPr>
            <xdr:cNvPr id="2049" name="CB_Err_Chks_Show_Msg" hidden="1">
              <a:extLst>
                <a:ext uri="{63B3BB69-23CF-44E3-9099-C40C66FF867C}">
                  <a14:compatExt spid="_x0000_s2049"/>
                </a:ext>
                <a:ext uri="{FF2B5EF4-FFF2-40B4-BE49-F238E27FC236}">
                  <a16:creationId xmlns:a16="http://schemas.microsoft.com/office/drawing/2014/main" id="{00000000-0008-0000-2A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Include summary in model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7</xdr:col>
          <xdr:colOff>487680</xdr:colOff>
          <xdr:row>28</xdr:row>
          <xdr:rowOff>0</xdr:rowOff>
        </xdr:to>
        <xdr:sp macro="" textlink="">
          <xdr:nvSpPr>
            <xdr:cNvPr id="2050" name="CB_Sens_Chks_Show_Msg" hidden="1">
              <a:extLst>
                <a:ext uri="{63B3BB69-23CF-44E3-9099-C40C66FF867C}">
                  <a14:compatExt spid="_x0000_s2050"/>
                </a:ext>
                <a:ext uri="{FF2B5EF4-FFF2-40B4-BE49-F238E27FC236}">
                  <a16:creationId xmlns:a16="http://schemas.microsoft.com/office/drawing/2014/main" id="{00000000-0008-0000-2A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Include summary in model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7</xdr:col>
          <xdr:colOff>487680</xdr:colOff>
          <xdr:row>39</xdr:row>
          <xdr:rowOff>0</xdr:rowOff>
        </xdr:to>
        <xdr:sp macro="" textlink="">
          <xdr:nvSpPr>
            <xdr:cNvPr id="2051" name="CB_Alt_Chks_Show_Msg" hidden="1">
              <a:extLst>
                <a:ext uri="{63B3BB69-23CF-44E3-9099-C40C66FF867C}">
                  <a14:compatExt spid="_x0000_s2051"/>
                </a:ext>
                <a:ext uri="{FF2B5EF4-FFF2-40B4-BE49-F238E27FC236}">
                  <a16:creationId xmlns:a16="http://schemas.microsoft.com/office/drawing/2014/main" id="{00000000-0008-0000-2A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Include summary in model name?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0</xdr:row>
      <xdr:rowOff>285750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twoCellAnchor>
  <xdr:twoCellAnchor editAs="oneCell">
    <xdr:from>
      <xdr:col>7</xdr:col>
      <xdr:colOff>276225</xdr:colOff>
      <xdr:row>0</xdr:row>
      <xdr:rowOff>28575</xdr:rowOff>
    </xdr:from>
    <xdr:to>
      <xdr:col>7</xdr:col>
      <xdr:colOff>771525</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a:stretch>
          <a:fillRect/>
        </a:stretch>
      </xdr:blipFill>
      <xdr:spPr>
        <a:xfrm>
          <a:off x="3762375" y="28575"/>
          <a:ext cx="495300" cy="4953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10</xdr:col>
          <xdr:colOff>0</xdr:colOff>
          <xdr:row>1</xdr:row>
          <xdr:rowOff>236220</xdr:rowOff>
        </xdr:to>
        <xdr:sp macro="" textlink="">
          <xdr:nvSpPr>
            <xdr:cNvPr id="1038340" name="Drop Down 4" hidden="1">
              <a:extLst>
                <a:ext uri="{63B3BB69-23CF-44E3-9099-C40C66FF867C}">
                  <a14:compatExt spid="_x0000_s1038340"/>
                </a:ext>
                <a:ext uri="{FF2B5EF4-FFF2-40B4-BE49-F238E27FC236}">
                  <a16:creationId xmlns:a16="http://schemas.microsoft.com/office/drawing/2014/main" id="{00000000-0008-0000-0400-000004D80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2</xdr:col>
      <xdr:colOff>209550</xdr:colOff>
      <xdr:row>42</xdr:row>
      <xdr:rowOff>152400</xdr:rowOff>
    </xdr:from>
    <xdr:to>
      <xdr:col>4</xdr:col>
      <xdr:colOff>76140</xdr:colOff>
      <xdr:row>44</xdr:row>
      <xdr:rowOff>180915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4"/>
        <a:stretch>
          <a:fillRect/>
        </a:stretch>
      </xdr:blipFill>
      <xdr:spPr>
        <a:xfrm>
          <a:off x="676275" y="10810875"/>
          <a:ext cx="476190" cy="476190"/>
        </a:xfrm>
        <a:prstGeom prst="rect">
          <a:avLst/>
        </a:prstGeom>
      </xdr:spPr>
    </xdr:pic>
    <xdr:clientData/>
  </xdr:twoCellAnchor>
  <xdr:twoCellAnchor editAs="oneCell">
    <xdr:from>
      <xdr:col>1</xdr:col>
      <xdr:colOff>76200</xdr:colOff>
      <xdr:row>13</xdr:row>
      <xdr:rowOff>28575</xdr:rowOff>
    </xdr:from>
    <xdr:to>
      <xdr:col>4</xdr:col>
      <xdr:colOff>190386</xdr:colOff>
      <xdr:row>17</xdr:row>
      <xdr:rowOff>114186</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5"/>
        <a:stretch>
          <a:fillRect/>
        </a:stretch>
      </xdr:blipFill>
      <xdr:spPr>
        <a:xfrm>
          <a:off x="352425" y="5076825"/>
          <a:ext cx="914286" cy="914286"/>
        </a:xfrm>
        <a:prstGeom prst="rect">
          <a:avLst/>
        </a:prstGeom>
      </xdr:spPr>
    </xdr:pic>
    <xdr:clientData/>
  </xdr:twoCellAnchor>
  <xdr:twoCellAnchor editAs="oneCell">
    <xdr:from>
      <xdr:col>8</xdr:col>
      <xdr:colOff>19050</xdr:colOff>
      <xdr:row>1</xdr:row>
      <xdr:rowOff>209550</xdr:rowOff>
    </xdr:from>
    <xdr:to>
      <xdr:col>9</xdr:col>
      <xdr:colOff>142875</xdr:colOff>
      <xdr:row>3</xdr:row>
      <xdr:rowOff>171450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flipH="1">
          <a:off x="5762625" y="838200"/>
          <a:ext cx="419100" cy="409575"/>
        </a:xfrm>
        <a:prstGeom prst="rect">
          <a:avLst/>
        </a:prstGeom>
      </xdr:spPr>
    </xdr:pic>
    <xdr:clientData/>
  </xdr:twoCellAnchor>
  <xdr:twoCellAnchor>
    <xdr:from>
      <xdr:col>3</xdr:col>
      <xdr:colOff>180975</xdr:colOff>
      <xdr:row>42</xdr:row>
      <xdr:rowOff>142875</xdr:rowOff>
    </xdr:from>
    <xdr:to>
      <xdr:col>15</xdr:col>
      <xdr:colOff>228600</xdr:colOff>
      <xdr:row>76</xdr:row>
      <xdr:rowOff>28575</xdr:rowOff>
    </xdr:to>
    <xdr:sp macro="" textlink="">
      <xdr:nvSpPr>
        <xdr:cNvPr id="18" name="Rounded Rectangle 17">
          <a:extLst>
            <a:ext uri="{FF2B5EF4-FFF2-40B4-BE49-F238E27FC236}">
              <a16:creationId xmlns:a16="http://schemas.microsoft.com/office/drawing/2014/main" id="{00000000-0008-0000-0400-000012000000}"/>
            </a:ext>
          </a:extLst>
        </xdr:cNvPr>
        <xdr:cNvSpPr/>
      </xdr:nvSpPr>
      <xdr:spPr>
        <a:xfrm>
          <a:off x="952500" y="8820150"/>
          <a:ext cx="10925175" cy="6515100"/>
        </a:xfrm>
        <a:prstGeom prst="roundRect">
          <a:avLst>
            <a:gd name="adj" fmla="val 2650"/>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142875</xdr:colOff>
      <xdr:row>13</xdr:row>
      <xdr:rowOff>38100</xdr:rowOff>
    </xdr:from>
    <xdr:to>
      <xdr:col>15</xdr:col>
      <xdr:colOff>171450</xdr:colOff>
      <xdr:row>41</xdr:row>
      <xdr:rowOff>104775</xdr:rowOff>
    </xdr:to>
    <xdr:sp macro="" textlink="">
      <xdr:nvSpPr>
        <xdr:cNvPr id="27" name="Rounded Rectangle 26">
          <a:extLst>
            <a:ext uri="{FF2B5EF4-FFF2-40B4-BE49-F238E27FC236}">
              <a16:creationId xmlns:a16="http://schemas.microsoft.com/office/drawing/2014/main" id="{00000000-0008-0000-0400-00001B000000}"/>
            </a:ext>
          </a:extLst>
        </xdr:cNvPr>
        <xdr:cNvSpPr/>
      </xdr:nvSpPr>
      <xdr:spPr>
        <a:xfrm>
          <a:off x="914400" y="3105150"/>
          <a:ext cx="10906125" cy="5476875"/>
        </a:xfrm>
        <a:prstGeom prst="roundRect">
          <a:avLst>
            <a:gd name="adj" fmla="val 3820"/>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152401</xdr:colOff>
      <xdr:row>4</xdr:row>
      <xdr:rowOff>19050</xdr:rowOff>
    </xdr:from>
    <xdr:to>
      <xdr:col>15</xdr:col>
      <xdr:colOff>114301</xdr:colOff>
      <xdr:row>11</xdr:row>
      <xdr:rowOff>123825</xdr:rowOff>
    </xdr:to>
    <xdr:sp macro="" textlink="">
      <xdr:nvSpPr>
        <xdr:cNvPr id="28" name="Rounded Rectangle 27">
          <a:extLst>
            <a:ext uri="{FF2B5EF4-FFF2-40B4-BE49-F238E27FC236}">
              <a16:creationId xmlns:a16="http://schemas.microsoft.com/office/drawing/2014/main" id="{00000000-0008-0000-0400-00001C000000}"/>
            </a:ext>
          </a:extLst>
        </xdr:cNvPr>
        <xdr:cNvSpPr/>
      </xdr:nvSpPr>
      <xdr:spPr>
        <a:xfrm>
          <a:off x="923926" y="1285875"/>
          <a:ext cx="10839450" cy="1514475"/>
        </a:xfrm>
        <a:prstGeom prst="roundRect">
          <a:avLst>
            <a:gd name="adj" fmla="val 3820"/>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171450</xdr:colOff>
      <xdr:row>4</xdr:row>
      <xdr:rowOff>66675</xdr:rowOff>
    </xdr:from>
    <xdr:to>
      <xdr:col>4</xdr:col>
      <xdr:colOff>171450</xdr:colOff>
      <xdr:row>8</xdr:row>
      <xdr:rowOff>38100</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7"/>
        <a:stretch>
          <a:fillRect/>
        </a:stretch>
      </xdr:blipFill>
      <xdr:spPr>
        <a:xfrm>
          <a:off x="447675" y="1333500"/>
          <a:ext cx="800100"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7</xdr:col>
          <xdr:colOff>0</xdr:colOff>
          <xdr:row>115</xdr:row>
          <xdr:rowOff>0</xdr:rowOff>
        </xdr:to>
        <xdr:sp macro="" textlink="">
          <xdr:nvSpPr>
            <xdr:cNvPr id="1075203" name="Drop Down 3" hidden="1">
              <a:extLst>
                <a:ext uri="{63B3BB69-23CF-44E3-9099-C40C66FF867C}">
                  <a14:compatExt spid="_x0000_s1075203"/>
                </a:ext>
                <a:ext uri="{FF2B5EF4-FFF2-40B4-BE49-F238E27FC236}">
                  <a16:creationId xmlns:a16="http://schemas.microsoft.com/office/drawing/2014/main" id="{00000000-0008-0000-0500-00000368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7</xdr:col>
          <xdr:colOff>0</xdr:colOff>
          <xdr:row>116</xdr:row>
          <xdr:rowOff>0</xdr:rowOff>
        </xdr:to>
        <xdr:sp macro="" textlink="">
          <xdr:nvSpPr>
            <xdr:cNvPr id="1075204" name="Drop Down 4" hidden="1">
              <a:extLst>
                <a:ext uri="{63B3BB69-23CF-44E3-9099-C40C66FF867C}">
                  <a14:compatExt spid="_x0000_s1075204"/>
                </a:ext>
                <a:ext uri="{FF2B5EF4-FFF2-40B4-BE49-F238E27FC236}">
                  <a16:creationId xmlns:a16="http://schemas.microsoft.com/office/drawing/2014/main" id="{00000000-0008-0000-0500-00000468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5</xdr:col>
      <xdr:colOff>130174</xdr:colOff>
      <xdr:row>114</xdr:row>
      <xdr:rowOff>173566</xdr:rowOff>
    </xdr:from>
    <xdr:to>
      <xdr:col>5</xdr:col>
      <xdr:colOff>550333</xdr:colOff>
      <xdr:row>116</xdr:row>
      <xdr:rowOff>169332</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1511299" y="5545666"/>
          <a:ext cx="420159" cy="405341"/>
        </a:xfrm>
        <a:prstGeom prst="rect">
          <a:avLst/>
        </a:prstGeom>
      </xdr:spPr>
    </xdr:pic>
    <xdr:clientData/>
  </xdr:twoCellAnchor>
  <xdr:twoCellAnchor editAs="oneCell">
    <xdr:from>
      <xdr:col>1</xdr:col>
      <xdr:colOff>123825</xdr:colOff>
      <xdr:row>5</xdr:row>
      <xdr:rowOff>38100</xdr:rowOff>
    </xdr:from>
    <xdr:to>
      <xdr:col>4</xdr:col>
      <xdr:colOff>21771</xdr:colOff>
      <xdr:row>8</xdr:row>
      <xdr:rowOff>174238</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400050" y="1114425"/>
          <a:ext cx="726621" cy="8028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0</xdr:colOff>
          <xdr:row>19</xdr:row>
          <xdr:rowOff>0</xdr:rowOff>
        </xdr:from>
        <xdr:to>
          <xdr:col>14</xdr:col>
          <xdr:colOff>0</xdr:colOff>
          <xdr:row>20</xdr:row>
          <xdr:rowOff>0</xdr:rowOff>
        </xdr:to>
        <xdr:sp macro="" textlink="">
          <xdr:nvSpPr>
            <xdr:cNvPr id="1075206" name="Drop Down 6" hidden="1">
              <a:extLst>
                <a:ext uri="{63B3BB69-23CF-44E3-9099-C40C66FF867C}">
                  <a14:compatExt spid="_x0000_s1075206"/>
                </a:ext>
                <a:ext uri="{FF2B5EF4-FFF2-40B4-BE49-F238E27FC236}">
                  <a16:creationId xmlns:a16="http://schemas.microsoft.com/office/drawing/2014/main" id="{00000000-0008-0000-0500-00000668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12</xdr:col>
      <xdr:colOff>1038225</xdr:colOff>
      <xdr:row>20</xdr:row>
      <xdr:rowOff>19050</xdr:rowOff>
    </xdr:from>
    <xdr:to>
      <xdr:col>13</xdr:col>
      <xdr:colOff>228600</xdr:colOff>
      <xdr:row>21</xdr:row>
      <xdr:rowOff>161925</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10591800" y="4191000"/>
          <a:ext cx="419100" cy="409575"/>
        </a:xfrm>
        <a:prstGeom prst="rect">
          <a:avLst/>
        </a:prstGeom>
      </xdr:spPr>
    </xdr:pic>
    <xdr:clientData/>
  </xdr:twoCellAnchor>
  <xdr:twoCellAnchor>
    <xdr:from>
      <xdr:col>0</xdr:col>
      <xdr:colOff>209550</xdr:colOff>
      <xdr:row>34</xdr:row>
      <xdr:rowOff>161925</xdr:rowOff>
    </xdr:from>
    <xdr:to>
      <xdr:col>4</xdr:col>
      <xdr:colOff>200025</xdr:colOff>
      <xdr:row>38</xdr:row>
      <xdr:rowOff>76200</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209550" y="7296150"/>
          <a:ext cx="1095375" cy="752475"/>
        </a:xfrm>
        <a:prstGeom prst="wedgeRoundRectCallout">
          <a:avLst>
            <a:gd name="adj1" fmla="val 33950"/>
            <a:gd name="adj2" fmla="val 84019"/>
            <a:gd name="adj3" fmla="val 16667"/>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0">
              <a:latin typeface="Arial Black" panose="020B0A04020102020204" pitchFamily="34" charset="0"/>
            </a:rPr>
            <a:t>WHAT IF...</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180975</xdr:colOff>
      <xdr:row>44</xdr:row>
      <xdr:rowOff>114300</xdr:rowOff>
    </xdr:from>
    <xdr:to>
      <xdr:col>11</xdr:col>
      <xdr:colOff>733425</xdr:colOff>
      <xdr:row>48</xdr:row>
      <xdr:rowOff>85725</xdr:rowOff>
    </xdr:to>
    <xdr:sp macro="" textlink="">
      <xdr:nvSpPr>
        <xdr:cNvPr id="8" name="Rectangle 7">
          <a:extLst>
            <a:ext uri="{FF2B5EF4-FFF2-40B4-BE49-F238E27FC236}">
              <a16:creationId xmlns:a16="http://schemas.microsoft.com/office/drawing/2014/main" id="{00000000-0008-0000-0600-000008000000}"/>
            </a:ext>
          </a:extLst>
        </xdr:cNvPr>
        <xdr:cNvSpPr/>
      </xdr:nvSpPr>
      <xdr:spPr>
        <a:xfrm>
          <a:off x="647700" y="8620125"/>
          <a:ext cx="4829175" cy="733425"/>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830580</xdr:colOff>
          <xdr:row>33</xdr:row>
          <xdr:rowOff>99060</xdr:rowOff>
        </xdr:from>
        <xdr:to>
          <xdr:col>13</xdr:col>
          <xdr:colOff>1569720</xdr:colOff>
          <xdr:row>34</xdr:row>
          <xdr:rowOff>99060</xdr:rowOff>
        </xdr:to>
        <xdr:sp macro="" textlink="">
          <xdr:nvSpPr>
            <xdr:cNvPr id="1107969" name="Drop Down 1" hidden="1">
              <a:extLst>
                <a:ext uri="{63B3BB69-23CF-44E3-9099-C40C66FF867C}">
                  <a14:compatExt spid="_x0000_s1107969"/>
                </a:ext>
                <a:ext uri="{FF2B5EF4-FFF2-40B4-BE49-F238E27FC236}">
                  <a16:creationId xmlns:a16="http://schemas.microsoft.com/office/drawing/2014/main" id="{00000000-0008-0000-0600-000001E81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11</xdr:col>
      <xdr:colOff>819150</xdr:colOff>
      <xdr:row>34</xdr:row>
      <xdr:rowOff>152400</xdr:rowOff>
    </xdr:from>
    <xdr:to>
      <xdr:col>12</xdr:col>
      <xdr:colOff>76200</xdr:colOff>
      <xdr:row>36</xdr:row>
      <xdr:rowOff>180975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5562600" y="6753225"/>
          <a:ext cx="419100" cy="409575"/>
        </a:xfrm>
        <a:prstGeom prst="rect">
          <a:avLst/>
        </a:prstGeom>
      </xdr:spPr>
    </xdr:pic>
    <xdr:clientData/>
  </xdr:twoCellAnchor>
  <xdr:twoCellAnchor>
    <xdr:from>
      <xdr:col>2</xdr:col>
      <xdr:colOff>180975</xdr:colOff>
      <xdr:row>7</xdr:row>
      <xdr:rowOff>19050</xdr:rowOff>
    </xdr:from>
    <xdr:to>
      <xdr:col>11</xdr:col>
      <xdr:colOff>714376</xdr:colOff>
      <xdr:row>24</xdr:row>
      <xdr:rowOff>123825</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598170" y="1415415"/>
          <a:ext cx="4391026" cy="3187065"/>
          <a:chOff x="647700" y="1514475"/>
          <a:chExt cx="4810126" cy="3343275"/>
        </a:xfrm>
      </xdr:grpSpPr>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647700" y="1828799"/>
          <a:ext cx="4810126" cy="302895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Rectangle 6">
            <a:extLst>
              <a:ext uri="{FF2B5EF4-FFF2-40B4-BE49-F238E27FC236}">
                <a16:creationId xmlns:a16="http://schemas.microsoft.com/office/drawing/2014/main" id="{00000000-0008-0000-0600-000007000000}"/>
              </a:ext>
            </a:extLst>
          </xdr:cNvPr>
          <xdr:cNvSpPr/>
        </xdr:nvSpPr>
        <xdr:spPr>
          <a:xfrm>
            <a:off x="647700" y="1514475"/>
            <a:ext cx="4810126" cy="295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latin typeface="+mj-lt"/>
              </a:rPr>
              <a:t>FINANCIAL COST DISTRIBUTION</a:t>
            </a:r>
          </a:p>
        </xdr:txBody>
      </xdr:sp>
    </xdr:grpSp>
    <xdr:clientData/>
  </xdr:twoCellAnchor>
  <xdr:twoCellAnchor>
    <xdr:from>
      <xdr:col>15</xdr:col>
      <xdr:colOff>9525</xdr:colOff>
      <xdr:row>7</xdr:row>
      <xdr:rowOff>19050</xdr:rowOff>
    </xdr:from>
    <xdr:to>
      <xdr:col>31</xdr:col>
      <xdr:colOff>152400</xdr:colOff>
      <xdr:row>24</xdr:row>
      <xdr:rowOff>171450</xdr:rowOff>
    </xdr:to>
    <xdr:grpSp>
      <xdr:nvGrpSpPr>
        <xdr:cNvPr id="16" name="Group 15">
          <a:extLst>
            <a:ext uri="{FF2B5EF4-FFF2-40B4-BE49-F238E27FC236}">
              <a16:creationId xmlns:a16="http://schemas.microsoft.com/office/drawing/2014/main" id="{00000000-0008-0000-0600-000010000000}"/>
            </a:ext>
          </a:extLst>
        </xdr:cNvPr>
        <xdr:cNvGrpSpPr/>
      </xdr:nvGrpSpPr>
      <xdr:grpSpPr>
        <a:xfrm>
          <a:off x="7117080" y="1415415"/>
          <a:ext cx="4274820" cy="3228975"/>
          <a:chOff x="7896225" y="1476375"/>
          <a:chExt cx="4733925" cy="3390900"/>
        </a:xfrm>
      </xdr:grpSpPr>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7905749" y="1771652"/>
          <a:ext cx="4724401" cy="309562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0" name="Rectangle 9">
            <a:extLst>
              <a:ext uri="{FF2B5EF4-FFF2-40B4-BE49-F238E27FC236}">
                <a16:creationId xmlns:a16="http://schemas.microsoft.com/office/drawing/2014/main" id="{00000000-0008-0000-0600-00000A000000}"/>
              </a:ext>
            </a:extLst>
          </xdr:cNvPr>
          <xdr:cNvSpPr/>
        </xdr:nvSpPr>
        <xdr:spPr>
          <a:xfrm>
            <a:off x="7896225" y="1476375"/>
            <a:ext cx="4705350" cy="295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b="1">
                <a:latin typeface="+mj-lt"/>
              </a:rPr>
              <a:t>ECONOMIC COST DISTRIBUTION</a:t>
            </a:r>
          </a:p>
        </xdr:txBody>
      </xdr:sp>
    </xdr:grpSp>
    <xdr:clientData/>
  </xdr:twoCellAnchor>
  <xdr:twoCellAnchor>
    <xdr:from>
      <xdr:col>2</xdr:col>
      <xdr:colOff>180975</xdr:colOff>
      <xdr:row>25</xdr:row>
      <xdr:rowOff>123826</xdr:rowOff>
    </xdr:from>
    <xdr:to>
      <xdr:col>11</xdr:col>
      <xdr:colOff>714375</xdr:colOff>
      <xdr:row>43</xdr:row>
      <xdr:rowOff>95250</xdr:rowOff>
    </xdr:to>
    <xdr:grpSp>
      <xdr:nvGrpSpPr>
        <xdr:cNvPr id="9" name="Group 8">
          <a:extLst>
            <a:ext uri="{FF2B5EF4-FFF2-40B4-BE49-F238E27FC236}">
              <a16:creationId xmlns:a16="http://schemas.microsoft.com/office/drawing/2014/main" id="{00000000-0008-0000-0600-000009000000}"/>
            </a:ext>
          </a:extLst>
        </xdr:cNvPr>
        <xdr:cNvGrpSpPr/>
      </xdr:nvGrpSpPr>
      <xdr:grpSpPr>
        <a:xfrm>
          <a:off x="598170" y="4783456"/>
          <a:ext cx="4391025" cy="3223259"/>
          <a:chOff x="647700" y="5010151"/>
          <a:chExt cx="4810125" cy="3400424"/>
        </a:xfrm>
      </xdr:grpSpPr>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647700" y="5295900"/>
          <a:ext cx="4810125" cy="311467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1" name="Rectangle 10">
            <a:extLst>
              <a:ext uri="{FF2B5EF4-FFF2-40B4-BE49-F238E27FC236}">
                <a16:creationId xmlns:a16="http://schemas.microsoft.com/office/drawing/2014/main" id="{00000000-0008-0000-0600-00000B000000}"/>
              </a:ext>
            </a:extLst>
          </xdr:cNvPr>
          <xdr:cNvSpPr/>
        </xdr:nvSpPr>
        <xdr:spPr>
          <a:xfrm>
            <a:off x="647700" y="5010151"/>
            <a:ext cx="4781550" cy="28575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latin typeface="+mj-lt"/>
              </a:rPr>
              <a:t>COSTS (FINANCIAL VS.</a:t>
            </a:r>
            <a:r>
              <a:rPr lang="en-US" sz="1100" b="1" baseline="0">
                <a:latin typeface="+mj-lt"/>
              </a:rPr>
              <a:t> </a:t>
            </a:r>
            <a:r>
              <a:rPr lang="en-US" sz="1100" b="1">
                <a:latin typeface="+mj-lt"/>
              </a:rPr>
              <a:t>ECONOMIC)</a:t>
            </a:r>
          </a:p>
        </xdr:txBody>
      </xdr:sp>
    </xdr:grpSp>
    <xdr:clientData/>
  </xdr:twoCellAnchor>
  <xdr:twoCellAnchor>
    <xdr:from>
      <xdr:col>14</xdr:col>
      <xdr:colOff>152400</xdr:colOff>
      <xdr:row>25</xdr:row>
      <xdr:rowOff>123826</xdr:rowOff>
    </xdr:from>
    <xdr:to>
      <xdr:col>31</xdr:col>
      <xdr:colOff>161925</xdr:colOff>
      <xdr:row>43</xdr:row>
      <xdr:rowOff>19051</xdr:rowOff>
    </xdr:to>
    <xdr:grpSp>
      <xdr:nvGrpSpPr>
        <xdr:cNvPr id="13" name="Group 12">
          <a:extLst>
            <a:ext uri="{FF2B5EF4-FFF2-40B4-BE49-F238E27FC236}">
              <a16:creationId xmlns:a16="http://schemas.microsoft.com/office/drawing/2014/main" id="{00000000-0008-0000-0600-00000D000000}"/>
            </a:ext>
          </a:extLst>
        </xdr:cNvPr>
        <xdr:cNvGrpSpPr/>
      </xdr:nvGrpSpPr>
      <xdr:grpSpPr>
        <a:xfrm>
          <a:off x="7086600" y="4783456"/>
          <a:ext cx="4316730" cy="3147060"/>
          <a:chOff x="7848600" y="5057775"/>
          <a:chExt cx="4791075" cy="3324225"/>
        </a:xfrm>
      </xdr:grpSpPr>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7848600" y="5362575"/>
          <a:ext cx="4781550" cy="301942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2" name="Rectangle 11">
            <a:extLst>
              <a:ext uri="{FF2B5EF4-FFF2-40B4-BE49-F238E27FC236}">
                <a16:creationId xmlns:a16="http://schemas.microsoft.com/office/drawing/2014/main" id="{00000000-0008-0000-0600-00000C000000}"/>
              </a:ext>
            </a:extLst>
          </xdr:cNvPr>
          <xdr:cNvSpPr/>
        </xdr:nvSpPr>
        <xdr:spPr>
          <a:xfrm>
            <a:off x="7858125" y="5057775"/>
            <a:ext cx="4781550" cy="285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latin typeface="+mj-lt"/>
              </a:rPr>
              <a:t>COSTS (FINANCIAL VS.</a:t>
            </a:r>
            <a:r>
              <a:rPr lang="en-US" sz="1100" b="1" baseline="0">
                <a:latin typeface="+mj-lt"/>
              </a:rPr>
              <a:t> </a:t>
            </a:r>
            <a:r>
              <a:rPr lang="en-US" sz="1100" b="1">
                <a:latin typeface="+mj-lt"/>
              </a:rPr>
              <a:t>ECONOMIC)</a:t>
            </a:r>
          </a:p>
        </xdr:txBody>
      </xdr:sp>
    </xdr:grpSp>
    <xdr:clientData/>
  </xdr:twoCellAnchor>
  <xdr:twoCellAnchor>
    <xdr:from>
      <xdr:col>14</xdr:col>
      <xdr:colOff>123825</xdr:colOff>
      <xdr:row>44</xdr:row>
      <xdr:rowOff>114300</xdr:rowOff>
    </xdr:from>
    <xdr:to>
      <xdr:col>31</xdr:col>
      <xdr:colOff>171450</xdr:colOff>
      <xdr:row>48</xdr:row>
      <xdr:rowOff>85725</xdr:rowOff>
    </xdr:to>
    <xdr:sp macro="" textlink="">
      <xdr:nvSpPr>
        <xdr:cNvPr id="14" name="Rectangle 13">
          <a:extLst>
            <a:ext uri="{FF2B5EF4-FFF2-40B4-BE49-F238E27FC236}">
              <a16:creationId xmlns:a16="http://schemas.microsoft.com/office/drawing/2014/main" id="{00000000-0008-0000-0600-00000E000000}"/>
            </a:ext>
          </a:extLst>
        </xdr:cNvPr>
        <xdr:cNvSpPr/>
      </xdr:nvSpPr>
      <xdr:spPr>
        <a:xfrm>
          <a:off x="7820025" y="8620125"/>
          <a:ext cx="4829175" cy="7334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17</xdr:row>
      <xdr:rowOff>76200</xdr:rowOff>
    </xdr:from>
    <xdr:to>
      <xdr:col>1</xdr:col>
      <xdr:colOff>295215</xdr:colOff>
      <xdr:row>19</xdr:row>
      <xdr:rowOff>123765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95250" y="3619500"/>
          <a:ext cx="476190" cy="476190"/>
        </a:xfrm>
        <a:prstGeom prst="rect">
          <a:avLst/>
        </a:prstGeom>
      </xdr:spPr>
    </xdr:pic>
    <xdr:clientData/>
  </xdr:twoCellAnchor>
  <xdr:twoCellAnchor editAs="oneCell">
    <xdr:from>
      <xdr:col>0</xdr:col>
      <xdr:colOff>85725</xdr:colOff>
      <xdr:row>22</xdr:row>
      <xdr:rowOff>9525</xdr:rowOff>
    </xdr:from>
    <xdr:to>
      <xdr:col>1</xdr:col>
      <xdr:colOff>304738</xdr:colOff>
      <xdr:row>24</xdr:row>
      <xdr:rowOff>76138</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85725" y="4743450"/>
          <a:ext cx="495238" cy="495238"/>
        </a:xfrm>
        <a:prstGeom prst="rect">
          <a:avLst/>
        </a:prstGeom>
      </xdr:spPr>
    </xdr:pic>
    <xdr:clientData/>
  </xdr:twoCellAnchor>
  <xdr:twoCellAnchor editAs="oneCell">
    <xdr:from>
      <xdr:col>0</xdr:col>
      <xdr:colOff>85725</xdr:colOff>
      <xdr:row>27</xdr:row>
      <xdr:rowOff>85725</xdr:rowOff>
    </xdr:from>
    <xdr:to>
      <xdr:col>1</xdr:col>
      <xdr:colOff>285690</xdr:colOff>
      <xdr:row>29</xdr:row>
      <xdr:rowOff>133290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85725" y="5819775"/>
          <a:ext cx="476190" cy="476190"/>
        </a:xfrm>
        <a:prstGeom prst="rect">
          <a:avLst/>
        </a:prstGeom>
      </xdr:spPr>
    </xdr:pic>
    <xdr:clientData/>
  </xdr:twoCellAnchor>
  <xdr:twoCellAnchor editAs="oneCell">
    <xdr:from>
      <xdr:col>0</xdr:col>
      <xdr:colOff>19050</xdr:colOff>
      <xdr:row>35</xdr:row>
      <xdr:rowOff>104775</xdr:rowOff>
    </xdr:from>
    <xdr:to>
      <xdr:col>1</xdr:col>
      <xdr:colOff>219015</xdr:colOff>
      <xdr:row>37</xdr:row>
      <xdr:rowOff>152340</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19050" y="7277100"/>
          <a:ext cx="476190" cy="476190"/>
        </a:xfrm>
        <a:prstGeom prst="rect">
          <a:avLst/>
        </a:prstGeom>
      </xdr:spPr>
    </xdr:pic>
    <xdr:clientData/>
  </xdr:twoCellAnchor>
  <xdr:twoCellAnchor editAs="oneCell">
    <xdr:from>
      <xdr:col>0</xdr:col>
      <xdr:colOff>57150</xdr:colOff>
      <xdr:row>40</xdr:row>
      <xdr:rowOff>76200</xdr:rowOff>
    </xdr:from>
    <xdr:to>
      <xdr:col>1</xdr:col>
      <xdr:colOff>238068</xdr:colOff>
      <xdr:row>42</xdr:row>
      <xdr:rowOff>104718</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stretch>
          <a:fillRect/>
        </a:stretch>
      </xdr:blipFill>
      <xdr:spPr>
        <a:xfrm>
          <a:off x="57150" y="8201025"/>
          <a:ext cx="457143" cy="457143"/>
        </a:xfrm>
        <a:prstGeom prst="rect">
          <a:avLst/>
        </a:prstGeom>
      </xdr:spPr>
    </xdr:pic>
    <xdr:clientData/>
  </xdr:twoCellAnchor>
  <xdr:twoCellAnchor editAs="oneCell">
    <xdr:from>
      <xdr:col>0</xdr:col>
      <xdr:colOff>104775</xdr:colOff>
      <xdr:row>12</xdr:row>
      <xdr:rowOff>114300</xdr:rowOff>
    </xdr:from>
    <xdr:to>
      <xdr:col>1</xdr:col>
      <xdr:colOff>323788</xdr:colOff>
      <xdr:row>14</xdr:row>
      <xdr:rowOff>180913</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6"/>
        <a:stretch>
          <a:fillRect/>
        </a:stretch>
      </xdr:blipFill>
      <xdr:spPr>
        <a:xfrm>
          <a:off x="104775" y="2447925"/>
          <a:ext cx="495238" cy="495238"/>
        </a:xfrm>
        <a:prstGeom prst="rect">
          <a:avLst/>
        </a:prstGeom>
      </xdr:spPr>
    </xdr:pic>
    <xdr:clientData/>
  </xdr:twoCellAnchor>
  <xdr:twoCellAnchor editAs="oneCell">
    <xdr:from>
      <xdr:col>0</xdr:col>
      <xdr:colOff>104775</xdr:colOff>
      <xdr:row>8</xdr:row>
      <xdr:rowOff>66675</xdr:rowOff>
    </xdr:from>
    <xdr:to>
      <xdr:col>1</xdr:col>
      <xdr:colOff>323788</xdr:colOff>
      <xdr:row>10</xdr:row>
      <xdr:rowOff>133288</xdr:rowOff>
    </xdr:to>
    <xdr:pic>
      <xdr:nvPicPr>
        <xdr:cNvPr id="12" name="Picture 2">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a:stretch>
          <a:fillRect/>
        </a:stretch>
      </xdr:blipFill>
      <xdr:spPr>
        <a:xfrm>
          <a:off x="104775" y="1400175"/>
          <a:ext cx="495238" cy="495238"/>
        </a:xfrm>
        <a:prstGeom prst="rect">
          <a:avLst/>
        </a:prstGeom>
      </xdr:spPr>
    </xdr:pic>
    <xdr:clientData/>
  </xdr:twoCellAnchor>
  <xdr:twoCellAnchor editAs="oneCell">
    <xdr:from>
      <xdr:col>0</xdr:col>
      <xdr:colOff>0</xdr:colOff>
      <xdr:row>0</xdr:row>
      <xdr:rowOff>0</xdr:rowOff>
    </xdr:from>
    <xdr:to>
      <xdr:col>1</xdr:col>
      <xdr:colOff>9525</xdr:colOff>
      <xdr:row>1</xdr:row>
      <xdr:rowOff>19050</xdr:rowOff>
    </xdr:to>
    <xdr:pic>
      <xdr:nvPicPr>
        <xdr:cNvPr id="13" name="Picture 1">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9"/>
        <a:stretch>
          <a:fillRect/>
        </a:stretch>
      </xdr:blipFill>
      <xdr:spPr>
        <a:xfrm>
          <a:off x="0" y="0"/>
          <a:ext cx="285750" cy="285750"/>
        </a:xfrm>
        <a:prstGeom prst="rect">
          <a:avLst/>
        </a:prstGeom>
      </xdr:spPr>
    </xdr:pic>
    <xdr:clientData/>
  </xdr:twoCellAnchor>
  <xdr:twoCellAnchor>
    <xdr:from>
      <xdr:col>5</xdr:col>
      <xdr:colOff>161925</xdr:colOff>
      <xdr:row>0</xdr:row>
      <xdr:rowOff>28575</xdr:rowOff>
    </xdr:from>
    <xdr:to>
      <xdr:col>9</xdr:col>
      <xdr:colOff>66675</xdr:colOff>
      <xdr:row>3</xdr:row>
      <xdr:rowOff>190500</xdr:rowOff>
    </xdr:to>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6334125" y="28575"/>
          <a:ext cx="4914900" cy="914400"/>
        </a:xfrm>
        <a:prstGeom prst="roundRect">
          <a:avLst>
            <a:gd name="adj" fmla="val 0"/>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0</xdr:row>
      <xdr:rowOff>19050</xdr:rowOff>
    </xdr:from>
    <xdr:to>
      <xdr:col>5</xdr:col>
      <xdr:colOff>114300</xdr:colOff>
      <xdr:row>3</xdr:row>
      <xdr:rowOff>142875</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4362450" y="19050"/>
          <a:ext cx="1924050" cy="876300"/>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atin typeface="+mj-lt"/>
            </a:rPr>
            <a:t>TOTAL COSTS</a:t>
          </a:r>
          <a:br>
            <a:rPr lang="en-US" sz="1400" b="1">
              <a:latin typeface="+mj-lt"/>
            </a:rPr>
          </a:br>
          <a:r>
            <a:rPr lang="en-US" sz="1400" b="1">
              <a:latin typeface="+mj-lt"/>
            </a:rPr>
            <a:t>(ANNUALIZED)</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xdr:colOff>
          <xdr:row>1</xdr:row>
          <xdr:rowOff>0</xdr:rowOff>
        </xdr:from>
        <xdr:to>
          <xdr:col>6</xdr:col>
          <xdr:colOff>1226820</xdr:colOff>
          <xdr:row>2</xdr:row>
          <xdr:rowOff>0</xdr:rowOff>
        </xdr:to>
        <xdr:sp macro="" textlink="">
          <xdr:nvSpPr>
            <xdr:cNvPr id="1148929" name="Drop Down 1" hidden="1">
              <a:extLst>
                <a:ext uri="{63B3BB69-23CF-44E3-9099-C40C66FF867C}">
                  <a14:compatExt spid="_x0000_s1148929"/>
                </a:ext>
                <a:ext uri="{FF2B5EF4-FFF2-40B4-BE49-F238E27FC236}">
                  <a16:creationId xmlns:a16="http://schemas.microsoft.com/office/drawing/2014/main" id="{00000000-0008-0000-0800-000001881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xdr:col>
      <xdr:colOff>9525</xdr:colOff>
      <xdr:row>0</xdr:row>
      <xdr:rowOff>485775</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0" y="200025"/>
          <a:ext cx="285750" cy="285750"/>
        </a:xfrm>
        <a:prstGeom prst="rect">
          <a:avLst/>
        </a:prstGeom>
      </xdr:spPr>
    </xdr:pic>
    <xdr:clientData/>
  </xdr:twoCellAnchor>
  <xdr:twoCellAnchor editAs="oneCell">
    <xdr:from>
      <xdr:col>6</xdr:col>
      <xdr:colOff>371476</xdr:colOff>
      <xdr:row>0</xdr:row>
      <xdr:rowOff>114301</xdr:rowOff>
    </xdr:from>
    <xdr:to>
      <xdr:col>6</xdr:col>
      <xdr:colOff>828676</xdr:colOff>
      <xdr:row>0</xdr:row>
      <xdr:rowOff>571501</xdr:rowOff>
    </xdr:to>
    <xdr:pic>
      <xdr:nvPicPr>
        <xdr:cNvPr id="5" name="Picture 2">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a:stretch>
          <a:fillRect/>
        </a:stretch>
      </xdr:blipFill>
      <xdr:spPr>
        <a:xfrm>
          <a:off x="2638426" y="114301"/>
          <a:ext cx="457200"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800080"/>
      </a:folHlink>
    </a:clrScheme>
    <a:fontScheme name="Office">
      <a:majorFont>
        <a:latin typeface="Calibri"/>
        <a:ea typeface="Calibri"/>
        <a:cs typeface="Calibri"/>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Light"/>
        <a:ea typeface="Calibri Light"/>
        <a:cs typeface="Calibri Light"/>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win@levinmorgan.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3.bin"/><Relationship Id="rId1" Type="http://schemas.openxmlformats.org/officeDocument/2006/relationships/printerSettings" Target="../printerSettings/printerSettings11.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2.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3.x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4.x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5.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10.vml"/><Relationship Id="rId7" Type="http://schemas.openxmlformats.org/officeDocument/2006/relationships/ctrlProp" Target="../ctrlProps/ctrlProp22.x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21.xml"/><Relationship Id="rId5" Type="http://schemas.openxmlformats.org/officeDocument/2006/relationships/ctrlProp" Target="../ctrlProps/ctrlProp20.xml"/><Relationship Id="rId10" Type="http://schemas.openxmlformats.org/officeDocument/2006/relationships/comments" Target="../comments6.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7.xml"/><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12.vml"/><Relationship Id="rId7" Type="http://schemas.openxmlformats.org/officeDocument/2006/relationships/ctrlProp" Target="../ctrlProps/ctrlProp31.xml"/><Relationship Id="rId2" Type="http://schemas.openxmlformats.org/officeDocument/2006/relationships/drawing" Target="../drawings/drawing20.xml"/><Relationship Id="rId1" Type="http://schemas.openxmlformats.org/officeDocument/2006/relationships/printerSettings" Target="../printerSettings/printerSettings22.bin"/><Relationship Id="rId6" Type="http://schemas.openxmlformats.org/officeDocument/2006/relationships/ctrlProp" Target="../ctrlProps/ctrlProp30.xml"/><Relationship Id="rId5" Type="http://schemas.openxmlformats.org/officeDocument/2006/relationships/ctrlProp" Target="../ctrlProps/ctrlProp29.xml"/><Relationship Id="rId10" Type="http://schemas.openxmlformats.org/officeDocument/2006/relationships/comments" Target="../comments8.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1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21.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23.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17" Type="http://schemas.openxmlformats.org/officeDocument/2006/relationships/ctrlProp" Target="../ctrlProps/ctrlProp165.xml"/><Relationship Id="rId21" Type="http://schemas.openxmlformats.org/officeDocument/2006/relationships/ctrlProp" Target="../ctrlProps/ctrlProp69.xml"/><Relationship Id="rId42" Type="http://schemas.openxmlformats.org/officeDocument/2006/relationships/ctrlProp" Target="../ctrlProps/ctrlProp90.xml"/><Relationship Id="rId63" Type="http://schemas.openxmlformats.org/officeDocument/2006/relationships/ctrlProp" Target="../ctrlProps/ctrlProp111.xml"/><Relationship Id="rId84" Type="http://schemas.openxmlformats.org/officeDocument/2006/relationships/ctrlProp" Target="../ctrlProps/ctrlProp132.xml"/><Relationship Id="rId138" Type="http://schemas.openxmlformats.org/officeDocument/2006/relationships/ctrlProp" Target="../ctrlProps/ctrlProp186.xml"/><Relationship Id="rId159" Type="http://schemas.openxmlformats.org/officeDocument/2006/relationships/ctrlProp" Target="../ctrlProps/ctrlProp207.xml"/><Relationship Id="rId170" Type="http://schemas.openxmlformats.org/officeDocument/2006/relationships/ctrlProp" Target="../ctrlProps/ctrlProp218.xml"/><Relationship Id="rId191" Type="http://schemas.openxmlformats.org/officeDocument/2006/relationships/ctrlProp" Target="../ctrlProps/ctrlProp239.xml"/><Relationship Id="rId205" Type="http://schemas.openxmlformats.org/officeDocument/2006/relationships/ctrlProp" Target="../ctrlProps/ctrlProp253.xml"/><Relationship Id="rId226" Type="http://schemas.openxmlformats.org/officeDocument/2006/relationships/ctrlProp" Target="../ctrlProps/ctrlProp274.xml"/><Relationship Id="rId107" Type="http://schemas.openxmlformats.org/officeDocument/2006/relationships/ctrlProp" Target="../ctrlProps/ctrlProp155.xml"/><Relationship Id="rId11" Type="http://schemas.openxmlformats.org/officeDocument/2006/relationships/ctrlProp" Target="../ctrlProps/ctrlProp59.xml"/><Relationship Id="rId32" Type="http://schemas.openxmlformats.org/officeDocument/2006/relationships/ctrlProp" Target="../ctrlProps/ctrlProp80.xml"/><Relationship Id="rId53" Type="http://schemas.openxmlformats.org/officeDocument/2006/relationships/ctrlProp" Target="../ctrlProps/ctrlProp101.xml"/><Relationship Id="rId74" Type="http://schemas.openxmlformats.org/officeDocument/2006/relationships/ctrlProp" Target="../ctrlProps/ctrlProp122.xml"/><Relationship Id="rId128" Type="http://schemas.openxmlformats.org/officeDocument/2006/relationships/ctrlProp" Target="../ctrlProps/ctrlProp176.xml"/><Relationship Id="rId149" Type="http://schemas.openxmlformats.org/officeDocument/2006/relationships/ctrlProp" Target="../ctrlProps/ctrlProp197.xml"/><Relationship Id="rId5" Type="http://schemas.openxmlformats.org/officeDocument/2006/relationships/ctrlProp" Target="../ctrlProps/ctrlProp53.xml"/><Relationship Id="rId95" Type="http://schemas.openxmlformats.org/officeDocument/2006/relationships/ctrlProp" Target="../ctrlProps/ctrlProp143.xml"/><Relationship Id="rId160" Type="http://schemas.openxmlformats.org/officeDocument/2006/relationships/ctrlProp" Target="../ctrlProps/ctrlProp208.xml"/><Relationship Id="rId181" Type="http://schemas.openxmlformats.org/officeDocument/2006/relationships/ctrlProp" Target="../ctrlProps/ctrlProp229.xml"/><Relationship Id="rId216" Type="http://schemas.openxmlformats.org/officeDocument/2006/relationships/ctrlProp" Target="../ctrlProps/ctrlProp264.xml"/><Relationship Id="rId22" Type="http://schemas.openxmlformats.org/officeDocument/2006/relationships/ctrlProp" Target="../ctrlProps/ctrlProp70.xml"/><Relationship Id="rId43" Type="http://schemas.openxmlformats.org/officeDocument/2006/relationships/ctrlProp" Target="../ctrlProps/ctrlProp91.xml"/><Relationship Id="rId64" Type="http://schemas.openxmlformats.org/officeDocument/2006/relationships/ctrlProp" Target="../ctrlProps/ctrlProp112.xml"/><Relationship Id="rId118" Type="http://schemas.openxmlformats.org/officeDocument/2006/relationships/ctrlProp" Target="../ctrlProps/ctrlProp166.xml"/><Relationship Id="rId139" Type="http://schemas.openxmlformats.org/officeDocument/2006/relationships/ctrlProp" Target="../ctrlProps/ctrlProp187.xml"/><Relationship Id="rId85" Type="http://schemas.openxmlformats.org/officeDocument/2006/relationships/ctrlProp" Target="../ctrlProps/ctrlProp133.xml"/><Relationship Id="rId150" Type="http://schemas.openxmlformats.org/officeDocument/2006/relationships/ctrlProp" Target="../ctrlProps/ctrlProp198.xml"/><Relationship Id="rId171" Type="http://schemas.openxmlformats.org/officeDocument/2006/relationships/ctrlProp" Target="../ctrlProps/ctrlProp219.xml"/><Relationship Id="rId192" Type="http://schemas.openxmlformats.org/officeDocument/2006/relationships/ctrlProp" Target="../ctrlProps/ctrlProp240.xml"/><Relationship Id="rId206" Type="http://schemas.openxmlformats.org/officeDocument/2006/relationships/ctrlProp" Target="../ctrlProps/ctrlProp254.xml"/><Relationship Id="rId227" Type="http://schemas.openxmlformats.org/officeDocument/2006/relationships/ctrlProp" Target="../ctrlProps/ctrlProp275.xml"/><Relationship Id="rId12" Type="http://schemas.openxmlformats.org/officeDocument/2006/relationships/ctrlProp" Target="../ctrlProps/ctrlProp60.xml"/><Relationship Id="rId33" Type="http://schemas.openxmlformats.org/officeDocument/2006/relationships/ctrlProp" Target="../ctrlProps/ctrlProp81.xml"/><Relationship Id="rId108" Type="http://schemas.openxmlformats.org/officeDocument/2006/relationships/ctrlProp" Target="../ctrlProps/ctrlProp156.xml"/><Relationship Id="rId129" Type="http://schemas.openxmlformats.org/officeDocument/2006/relationships/ctrlProp" Target="../ctrlProps/ctrlProp177.xml"/><Relationship Id="rId54" Type="http://schemas.openxmlformats.org/officeDocument/2006/relationships/ctrlProp" Target="../ctrlProps/ctrlProp102.xml"/><Relationship Id="rId75" Type="http://schemas.openxmlformats.org/officeDocument/2006/relationships/ctrlProp" Target="../ctrlProps/ctrlProp123.xml"/><Relationship Id="rId96" Type="http://schemas.openxmlformats.org/officeDocument/2006/relationships/ctrlProp" Target="../ctrlProps/ctrlProp144.xml"/><Relationship Id="rId140" Type="http://schemas.openxmlformats.org/officeDocument/2006/relationships/ctrlProp" Target="../ctrlProps/ctrlProp188.xml"/><Relationship Id="rId161" Type="http://schemas.openxmlformats.org/officeDocument/2006/relationships/ctrlProp" Target="../ctrlProps/ctrlProp209.xml"/><Relationship Id="rId182" Type="http://schemas.openxmlformats.org/officeDocument/2006/relationships/ctrlProp" Target="../ctrlProps/ctrlProp230.xml"/><Relationship Id="rId217" Type="http://schemas.openxmlformats.org/officeDocument/2006/relationships/ctrlProp" Target="../ctrlProps/ctrlProp265.xml"/><Relationship Id="rId6" Type="http://schemas.openxmlformats.org/officeDocument/2006/relationships/ctrlProp" Target="../ctrlProps/ctrlProp54.xml"/><Relationship Id="rId23" Type="http://schemas.openxmlformats.org/officeDocument/2006/relationships/ctrlProp" Target="../ctrlProps/ctrlProp71.xml"/><Relationship Id="rId119" Type="http://schemas.openxmlformats.org/officeDocument/2006/relationships/ctrlProp" Target="../ctrlProps/ctrlProp167.xml"/><Relationship Id="rId44" Type="http://schemas.openxmlformats.org/officeDocument/2006/relationships/ctrlProp" Target="../ctrlProps/ctrlProp92.xml"/><Relationship Id="rId65" Type="http://schemas.openxmlformats.org/officeDocument/2006/relationships/ctrlProp" Target="../ctrlProps/ctrlProp113.xml"/><Relationship Id="rId86" Type="http://schemas.openxmlformats.org/officeDocument/2006/relationships/ctrlProp" Target="../ctrlProps/ctrlProp134.xml"/><Relationship Id="rId130" Type="http://schemas.openxmlformats.org/officeDocument/2006/relationships/ctrlProp" Target="../ctrlProps/ctrlProp178.xml"/><Relationship Id="rId151" Type="http://schemas.openxmlformats.org/officeDocument/2006/relationships/ctrlProp" Target="../ctrlProps/ctrlProp199.xml"/><Relationship Id="rId172" Type="http://schemas.openxmlformats.org/officeDocument/2006/relationships/ctrlProp" Target="../ctrlProps/ctrlProp220.xml"/><Relationship Id="rId193" Type="http://schemas.openxmlformats.org/officeDocument/2006/relationships/ctrlProp" Target="../ctrlProps/ctrlProp241.xml"/><Relationship Id="rId207" Type="http://schemas.openxmlformats.org/officeDocument/2006/relationships/ctrlProp" Target="../ctrlProps/ctrlProp255.xml"/><Relationship Id="rId228" Type="http://schemas.openxmlformats.org/officeDocument/2006/relationships/ctrlProp" Target="../ctrlProps/ctrlProp276.xml"/><Relationship Id="rId13" Type="http://schemas.openxmlformats.org/officeDocument/2006/relationships/ctrlProp" Target="../ctrlProps/ctrlProp61.xml"/><Relationship Id="rId109" Type="http://schemas.openxmlformats.org/officeDocument/2006/relationships/ctrlProp" Target="../ctrlProps/ctrlProp157.xml"/><Relationship Id="rId34" Type="http://schemas.openxmlformats.org/officeDocument/2006/relationships/ctrlProp" Target="../ctrlProps/ctrlProp82.xml"/><Relationship Id="rId55" Type="http://schemas.openxmlformats.org/officeDocument/2006/relationships/ctrlProp" Target="../ctrlProps/ctrlProp103.xml"/><Relationship Id="rId76" Type="http://schemas.openxmlformats.org/officeDocument/2006/relationships/ctrlProp" Target="../ctrlProps/ctrlProp124.xml"/><Relationship Id="rId97" Type="http://schemas.openxmlformats.org/officeDocument/2006/relationships/ctrlProp" Target="../ctrlProps/ctrlProp145.xml"/><Relationship Id="rId120" Type="http://schemas.openxmlformats.org/officeDocument/2006/relationships/ctrlProp" Target="../ctrlProps/ctrlProp168.xml"/><Relationship Id="rId141" Type="http://schemas.openxmlformats.org/officeDocument/2006/relationships/ctrlProp" Target="../ctrlProps/ctrlProp189.xml"/><Relationship Id="rId7" Type="http://schemas.openxmlformats.org/officeDocument/2006/relationships/ctrlProp" Target="../ctrlProps/ctrlProp55.xml"/><Relationship Id="rId162" Type="http://schemas.openxmlformats.org/officeDocument/2006/relationships/ctrlProp" Target="../ctrlProps/ctrlProp210.xml"/><Relationship Id="rId183" Type="http://schemas.openxmlformats.org/officeDocument/2006/relationships/ctrlProp" Target="../ctrlProps/ctrlProp231.xml"/><Relationship Id="rId218" Type="http://schemas.openxmlformats.org/officeDocument/2006/relationships/ctrlProp" Target="../ctrlProps/ctrlProp266.xml"/><Relationship Id="rId24" Type="http://schemas.openxmlformats.org/officeDocument/2006/relationships/ctrlProp" Target="../ctrlProps/ctrlProp72.xml"/><Relationship Id="rId45" Type="http://schemas.openxmlformats.org/officeDocument/2006/relationships/ctrlProp" Target="../ctrlProps/ctrlProp93.xml"/><Relationship Id="rId66" Type="http://schemas.openxmlformats.org/officeDocument/2006/relationships/ctrlProp" Target="../ctrlProps/ctrlProp114.xml"/><Relationship Id="rId87" Type="http://schemas.openxmlformats.org/officeDocument/2006/relationships/ctrlProp" Target="../ctrlProps/ctrlProp135.xml"/><Relationship Id="rId110" Type="http://schemas.openxmlformats.org/officeDocument/2006/relationships/ctrlProp" Target="../ctrlProps/ctrlProp158.xml"/><Relationship Id="rId131" Type="http://schemas.openxmlformats.org/officeDocument/2006/relationships/ctrlProp" Target="../ctrlProps/ctrlProp179.xml"/><Relationship Id="rId152" Type="http://schemas.openxmlformats.org/officeDocument/2006/relationships/ctrlProp" Target="../ctrlProps/ctrlProp200.xml"/><Relationship Id="rId173" Type="http://schemas.openxmlformats.org/officeDocument/2006/relationships/ctrlProp" Target="../ctrlProps/ctrlProp221.xml"/><Relationship Id="rId194" Type="http://schemas.openxmlformats.org/officeDocument/2006/relationships/ctrlProp" Target="../ctrlProps/ctrlProp242.xml"/><Relationship Id="rId208" Type="http://schemas.openxmlformats.org/officeDocument/2006/relationships/ctrlProp" Target="../ctrlProps/ctrlProp256.xml"/><Relationship Id="rId14" Type="http://schemas.openxmlformats.org/officeDocument/2006/relationships/ctrlProp" Target="../ctrlProps/ctrlProp62.xml"/><Relationship Id="rId35" Type="http://schemas.openxmlformats.org/officeDocument/2006/relationships/ctrlProp" Target="../ctrlProps/ctrlProp83.xml"/><Relationship Id="rId56" Type="http://schemas.openxmlformats.org/officeDocument/2006/relationships/ctrlProp" Target="../ctrlProps/ctrlProp104.xml"/><Relationship Id="rId77" Type="http://schemas.openxmlformats.org/officeDocument/2006/relationships/ctrlProp" Target="../ctrlProps/ctrlProp125.xml"/><Relationship Id="rId100" Type="http://schemas.openxmlformats.org/officeDocument/2006/relationships/ctrlProp" Target="../ctrlProps/ctrlProp148.xml"/><Relationship Id="rId8" Type="http://schemas.openxmlformats.org/officeDocument/2006/relationships/ctrlProp" Target="../ctrlProps/ctrlProp56.xml"/><Relationship Id="rId98" Type="http://schemas.openxmlformats.org/officeDocument/2006/relationships/ctrlProp" Target="../ctrlProps/ctrlProp146.xml"/><Relationship Id="rId121" Type="http://schemas.openxmlformats.org/officeDocument/2006/relationships/ctrlProp" Target="../ctrlProps/ctrlProp169.xml"/><Relationship Id="rId142" Type="http://schemas.openxmlformats.org/officeDocument/2006/relationships/ctrlProp" Target="../ctrlProps/ctrlProp190.xml"/><Relationship Id="rId163" Type="http://schemas.openxmlformats.org/officeDocument/2006/relationships/ctrlProp" Target="../ctrlProps/ctrlProp211.xml"/><Relationship Id="rId184" Type="http://schemas.openxmlformats.org/officeDocument/2006/relationships/ctrlProp" Target="../ctrlProps/ctrlProp232.xml"/><Relationship Id="rId219" Type="http://schemas.openxmlformats.org/officeDocument/2006/relationships/ctrlProp" Target="../ctrlProps/ctrlProp267.xml"/><Relationship Id="rId3" Type="http://schemas.openxmlformats.org/officeDocument/2006/relationships/vmlDrawing" Target="../drawings/vmlDrawing14.vml"/><Relationship Id="rId214" Type="http://schemas.openxmlformats.org/officeDocument/2006/relationships/ctrlProp" Target="../ctrlProps/ctrlProp262.xml"/><Relationship Id="rId25" Type="http://schemas.openxmlformats.org/officeDocument/2006/relationships/ctrlProp" Target="../ctrlProps/ctrlProp73.xml"/><Relationship Id="rId46" Type="http://schemas.openxmlformats.org/officeDocument/2006/relationships/ctrlProp" Target="../ctrlProps/ctrlProp94.xml"/><Relationship Id="rId67" Type="http://schemas.openxmlformats.org/officeDocument/2006/relationships/ctrlProp" Target="../ctrlProps/ctrlProp115.xml"/><Relationship Id="rId116" Type="http://schemas.openxmlformats.org/officeDocument/2006/relationships/ctrlProp" Target="../ctrlProps/ctrlProp164.xml"/><Relationship Id="rId137" Type="http://schemas.openxmlformats.org/officeDocument/2006/relationships/ctrlProp" Target="../ctrlProps/ctrlProp185.xml"/><Relationship Id="rId158" Type="http://schemas.openxmlformats.org/officeDocument/2006/relationships/ctrlProp" Target="../ctrlProps/ctrlProp206.xml"/><Relationship Id="rId20" Type="http://schemas.openxmlformats.org/officeDocument/2006/relationships/ctrlProp" Target="../ctrlProps/ctrlProp68.xml"/><Relationship Id="rId41" Type="http://schemas.openxmlformats.org/officeDocument/2006/relationships/ctrlProp" Target="../ctrlProps/ctrlProp89.xml"/><Relationship Id="rId62" Type="http://schemas.openxmlformats.org/officeDocument/2006/relationships/ctrlProp" Target="../ctrlProps/ctrlProp110.xml"/><Relationship Id="rId83" Type="http://schemas.openxmlformats.org/officeDocument/2006/relationships/ctrlProp" Target="../ctrlProps/ctrlProp131.xml"/><Relationship Id="rId88" Type="http://schemas.openxmlformats.org/officeDocument/2006/relationships/ctrlProp" Target="../ctrlProps/ctrlProp136.xml"/><Relationship Id="rId111" Type="http://schemas.openxmlformats.org/officeDocument/2006/relationships/ctrlProp" Target="../ctrlProps/ctrlProp159.xml"/><Relationship Id="rId132" Type="http://schemas.openxmlformats.org/officeDocument/2006/relationships/ctrlProp" Target="../ctrlProps/ctrlProp180.xml"/><Relationship Id="rId153" Type="http://schemas.openxmlformats.org/officeDocument/2006/relationships/ctrlProp" Target="../ctrlProps/ctrlProp201.xml"/><Relationship Id="rId174" Type="http://schemas.openxmlformats.org/officeDocument/2006/relationships/ctrlProp" Target="../ctrlProps/ctrlProp222.xml"/><Relationship Id="rId179" Type="http://schemas.openxmlformats.org/officeDocument/2006/relationships/ctrlProp" Target="../ctrlProps/ctrlProp227.xml"/><Relationship Id="rId195" Type="http://schemas.openxmlformats.org/officeDocument/2006/relationships/ctrlProp" Target="../ctrlProps/ctrlProp243.xml"/><Relationship Id="rId209" Type="http://schemas.openxmlformats.org/officeDocument/2006/relationships/ctrlProp" Target="../ctrlProps/ctrlProp257.xml"/><Relationship Id="rId190" Type="http://schemas.openxmlformats.org/officeDocument/2006/relationships/ctrlProp" Target="../ctrlProps/ctrlProp238.xml"/><Relationship Id="rId204" Type="http://schemas.openxmlformats.org/officeDocument/2006/relationships/ctrlProp" Target="../ctrlProps/ctrlProp252.xml"/><Relationship Id="rId220" Type="http://schemas.openxmlformats.org/officeDocument/2006/relationships/ctrlProp" Target="../ctrlProps/ctrlProp268.xml"/><Relationship Id="rId225" Type="http://schemas.openxmlformats.org/officeDocument/2006/relationships/ctrlProp" Target="../ctrlProps/ctrlProp273.xml"/><Relationship Id="rId15" Type="http://schemas.openxmlformats.org/officeDocument/2006/relationships/ctrlProp" Target="../ctrlProps/ctrlProp63.xml"/><Relationship Id="rId36" Type="http://schemas.openxmlformats.org/officeDocument/2006/relationships/ctrlProp" Target="../ctrlProps/ctrlProp84.xml"/><Relationship Id="rId57" Type="http://schemas.openxmlformats.org/officeDocument/2006/relationships/ctrlProp" Target="../ctrlProps/ctrlProp105.xml"/><Relationship Id="rId106" Type="http://schemas.openxmlformats.org/officeDocument/2006/relationships/ctrlProp" Target="../ctrlProps/ctrlProp154.xml"/><Relationship Id="rId127" Type="http://schemas.openxmlformats.org/officeDocument/2006/relationships/ctrlProp" Target="../ctrlProps/ctrlProp175.xml"/><Relationship Id="rId10" Type="http://schemas.openxmlformats.org/officeDocument/2006/relationships/ctrlProp" Target="../ctrlProps/ctrlProp58.xml"/><Relationship Id="rId31" Type="http://schemas.openxmlformats.org/officeDocument/2006/relationships/ctrlProp" Target="../ctrlProps/ctrlProp79.xml"/><Relationship Id="rId52" Type="http://schemas.openxmlformats.org/officeDocument/2006/relationships/ctrlProp" Target="../ctrlProps/ctrlProp100.xml"/><Relationship Id="rId73" Type="http://schemas.openxmlformats.org/officeDocument/2006/relationships/ctrlProp" Target="../ctrlProps/ctrlProp121.xml"/><Relationship Id="rId78" Type="http://schemas.openxmlformats.org/officeDocument/2006/relationships/ctrlProp" Target="../ctrlProps/ctrlProp126.xml"/><Relationship Id="rId94" Type="http://schemas.openxmlformats.org/officeDocument/2006/relationships/ctrlProp" Target="../ctrlProps/ctrlProp142.xml"/><Relationship Id="rId99" Type="http://schemas.openxmlformats.org/officeDocument/2006/relationships/ctrlProp" Target="../ctrlProps/ctrlProp147.xml"/><Relationship Id="rId101" Type="http://schemas.openxmlformats.org/officeDocument/2006/relationships/ctrlProp" Target="../ctrlProps/ctrlProp149.xml"/><Relationship Id="rId122" Type="http://schemas.openxmlformats.org/officeDocument/2006/relationships/ctrlProp" Target="../ctrlProps/ctrlProp170.xml"/><Relationship Id="rId143" Type="http://schemas.openxmlformats.org/officeDocument/2006/relationships/ctrlProp" Target="../ctrlProps/ctrlProp191.xml"/><Relationship Id="rId148" Type="http://schemas.openxmlformats.org/officeDocument/2006/relationships/ctrlProp" Target="../ctrlProps/ctrlProp196.xml"/><Relationship Id="rId164" Type="http://schemas.openxmlformats.org/officeDocument/2006/relationships/ctrlProp" Target="../ctrlProps/ctrlProp212.xml"/><Relationship Id="rId169" Type="http://schemas.openxmlformats.org/officeDocument/2006/relationships/ctrlProp" Target="../ctrlProps/ctrlProp217.xml"/><Relationship Id="rId185" Type="http://schemas.openxmlformats.org/officeDocument/2006/relationships/ctrlProp" Target="../ctrlProps/ctrlProp233.xml"/><Relationship Id="rId4" Type="http://schemas.openxmlformats.org/officeDocument/2006/relationships/ctrlProp" Target="../ctrlProps/ctrlProp52.xml"/><Relationship Id="rId9" Type="http://schemas.openxmlformats.org/officeDocument/2006/relationships/ctrlProp" Target="../ctrlProps/ctrlProp57.xml"/><Relationship Id="rId180" Type="http://schemas.openxmlformats.org/officeDocument/2006/relationships/ctrlProp" Target="../ctrlProps/ctrlProp228.xml"/><Relationship Id="rId210" Type="http://schemas.openxmlformats.org/officeDocument/2006/relationships/ctrlProp" Target="../ctrlProps/ctrlProp258.xml"/><Relationship Id="rId215" Type="http://schemas.openxmlformats.org/officeDocument/2006/relationships/ctrlProp" Target="../ctrlProps/ctrlProp263.xml"/><Relationship Id="rId26" Type="http://schemas.openxmlformats.org/officeDocument/2006/relationships/ctrlProp" Target="../ctrlProps/ctrlProp74.xml"/><Relationship Id="rId47" Type="http://schemas.openxmlformats.org/officeDocument/2006/relationships/ctrlProp" Target="../ctrlProps/ctrlProp95.xml"/><Relationship Id="rId68" Type="http://schemas.openxmlformats.org/officeDocument/2006/relationships/ctrlProp" Target="../ctrlProps/ctrlProp116.xml"/><Relationship Id="rId89" Type="http://schemas.openxmlformats.org/officeDocument/2006/relationships/ctrlProp" Target="../ctrlProps/ctrlProp137.xml"/><Relationship Id="rId112" Type="http://schemas.openxmlformats.org/officeDocument/2006/relationships/ctrlProp" Target="../ctrlProps/ctrlProp160.xml"/><Relationship Id="rId133" Type="http://schemas.openxmlformats.org/officeDocument/2006/relationships/ctrlProp" Target="../ctrlProps/ctrlProp181.xml"/><Relationship Id="rId154" Type="http://schemas.openxmlformats.org/officeDocument/2006/relationships/ctrlProp" Target="../ctrlProps/ctrlProp202.xml"/><Relationship Id="rId175" Type="http://schemas.openxmlformats.org/officeDocument/2006/relationships/ctrlProp" Target="../ctrlProps/ctrlProp223.xml"/><Relationship Id="rId196" Type="http://schemas.openxmlformats.org/officeDocument/2006/relationships/ctrlProp" Target="../ctrlProps/ctrlProp244.xml"/><Relationship Id="rId200" Type="http://schemas.openxmlformats.org/officeDocument/2006/relationships/ctrlProp" Target="../ctrlProps/ctrlProp248.xml"/><Relationship Id="rId16" Type="http://schemas.openxmlformats.org/officeDocument/2006/relationships/ctrlProp" Target="../ctrlProps/ctrlProp64.xml"/><Relationship Id="rId221" Type="http://schemas.openxmlformats.org/officeDocument/2006/relationships/ctrlProp" Target="../ctrlProps/ctrlProp269.xml"/><Relationship Id="rId37" Type="http://schemas.openxmlformats.org/officeDocument/2006/relationships/ctrlProp" Target="../ctrlProps/ctrlProp85.xml"/><Relationship Id="rId58" Type="http://schemas.openxmlformats.org/officeDocument/2006/relationships/ctrlProp" Target="../ctrlProps/ctrlProp106.xml"/><Relationship Id="rId79" Type="http://schemas.openxmlformats.org/officeDocument/2006/relationships/ctrlProp" Target="../ctrlProps/ctrlProp127.xml"/><Relationship Id="rId102" Type="http://schemas.openxmlformats.org/officeDocument/2006/relationships/ctrlProp" Target="../ctrlProps/ctrlProp150.xml"/><Relationship Id="rId123" Type="http://schemas.openxmlformats.org/officeDocument/2006/relationships/ctrlProp" Target="../ctrlProps/ctrlProp171.xml"/><Relationship Id="rId144" Type="http://schemas.openxmlformats.org/officeDocument/2006/relationships/ctrlProp" Target="../ctrlProps/ctrlProp192.xml"/><Relationship Id="rId90" Type="http://schemas.openxmlformats.org/officeDocument/2006/relationships/ctrlProp" Target="../ctrlProps/ctrlProp138.xml"/><Relationship Id="rId165" Type="http://schemas.openxmlformats.org/officeDocument/2006/relationships/ctrlProp" Target="../ctrlProps/ctrlProp213.xml"/><Relationship Id="rId186" Type="http://schemas.openxmlformats.org/officeDocument/2006/relationships/ctrlProp" Target="../ctrlProps/ctrlProp234.xml"/><Relationship Id="rId211" Type="http://schemas.openxmlformats.org/officeDocument/2006/relationships/ctrlProp" Target="../ctrlProps/ctrlProp259.xml"/><Relationship Id="rId27" Type="http://schemas.openxmlformats.org/officeDocument/2006/relationships/ctrlProp" Target="../ctrlProps/ctrlProp75.xml"/><Relationship Id="rId48" Type="http://schemas.openxmlformats.org/officeDocument/2006/relationships/ctrlProp" Target="../ctrlProps/ctrlProp96.xml"/><Relationship Id="rId69" Type="http://schemas.openxmlformats.org/officeDocument/2006/relationships/ctrlProp" Target="../ctrlProps/ctrlProp117.xml"/><Relationship Id="rId113" Type="http://schemas.openxmlformats.org/officeDocument/2006/relationships/ctrlProp" Target="../ctrlProps/ctrlProp161.xml"/><Relationship Id="rId134" Type="http://schemas.openxmlformats.org/officeDocument/2006/relationships/ctrlProp" Target="../ctrlProps/ctrlProp182.xml"/><Relationship Id="rId80" Type="http://schemas.openxmlformats.org/officeDocument/2006/relationships/ctrlProp" Target="../ctrlProps/ctrlProp128.xml"/><Relationship Id="rId155" Type="http://schemas.openxmlformats.org/officeDocument/2006/relationships/ctrlProp" Target="../ctrlProps/ctrlProp203.xml"/><Relationship Id="rId176" Type="http://schemas.openxmlformats.org/officeDocument/2006/relationships/ctrlProp" Target="../ctrlProps/ctrlProp224.xml"/><Relationship Id="rId197" Type="http://schemas.openxmlformats.org/officeDocument/2006/relationships/ctrlProp" Target="../ctrlProps/ctrlProp245.xml"/><Relationship Id="rId201" Type="http://schemas.openxmlformats.org/officeDocument/2006/relationships/ctrlProp" Target="../ctrlProps/ctrlProp249.xml"/><Relationship Id="rId222" Type="http://schemas.openxmlformats.org/officeDocument/2006/relationships/ctrlProp" Target="../ctrlProps/ctrlProp270.xml"/><Relationship Id="rId17" Type="http://schemas.openxmlformats.org/officeDocument/2006/relationships/ctrlProp" Target="../ctrlProps/ctrlProp65.xml"/><Relationship Id="rId38" Type="http://schemas.openxmlformats.org/officeDocument/2006/relationships/ctrlProp" Target="../ctrlProps/ctrlProp86.xml"/><Relationship Id="rId59" Type="http://schemas.openxmlformats.org/officeDocument/2006/relationships/ctrlProp" Target="../ctrlProps/ctrlProp107.xml"/><Relationship Id="rId103" Type="http://schemas.openxmlformats.org/officeDocument/2006/relationships/ctrlProp" Target="../ctrlProps/ctrlProp151.xml"/><Relationship Id="rId124" Type="http://schemas.openxmlformats.org/officeDocument/2006/relationships/ctrlProp" Target="../ctrlProps/ctrlProp172.xml"/><Relationship Id="rId70" Type="http://schemas.openxmlformats.org/officeDocument/2006/relationships/ctrlProp" Target="../ctrlProps/ctrlProp118.xml"/><Relationship Id="rId91" Type="http://schemas.openxmlformats.org/officeDocument/2006/relationships/ctrlProp" Target="../ctrlProps/ctrlProp139.xml"/><Relationship Id="rId145" Type="http://schemas.openxmlformats.org/officeDocument/2006/relationships/ctrlProp" Target="../ctrlProps/ctrlProp193.xml"/><Relationship Id="rId166" Type="http://schemas.openxmlformats.org/officeDocument/2006/relationships/ctrlProp" Target="../ctrlProps/ctrlProp214.xml"/><Relationship Id="rId187" Type="http://schemas.openxmlformats.org/officeDocument/2006/relationships/ctrlProp" Target="../ctrlProps/ctrlProp235.xml"/><Relationship Id="rId1" Type="http://schemas.openxmlformats.org/officeDocument/2006/relationships/printerSettings" Target="../printerSettings/printerSettings25.bin"/><Relationship Id="rId212" Type="http://schemas.openxmlformats.org/officeDocument/2006/relationships/ctrlProp" Target="../ctrlProps/ctrlProp260.xml"/><Relationship Id="rId28" Type="http://schemas.openxmlformats.org/officeDocument/2006/relationships/ctrlProp" Target="../ctrlProps/ctrlProp76.xml"/><Relationship Id="rId49" Type="http://schemas.openxmlformats.org/officeDocument/2006/relationships/ctrlProp" Target="../ctrlProps/ctrlProp97.xml"/><Relationship Id="rId114" Type="http://schemas.openxmlformats.org/officeDocument/2006/relationships/ctrlProp" Target="../ctrlProps/ctrlProp162.xml"/><Relationship Id="rId60" Type="http://schemas.openxmlformats.org/officeDocument/2006/relationships/ctrlProp" Target="../ctrlProps/ctrlProp108.xml"/><Relationship Id="rId81" Type="http://schemas.openxmlformats.org/officeDocument/2006/relationships/ctrlProp" Target="../ctrlProps/ctrlProp129.xml"/><Relationship Id="rId135" Type="http://schemas.openxmlformats.org/officeDocument/2006/relationships/ctrlProp" Target="../ctrlProps/ctrlProp183.xml"/><Relationship Id="rId156" Type="http://schemas.openxmlformats.org/officeDocument/2006/relationships/ctrlProp" Target="../ctrlProps/ctrlProp204.xml"/><Relationship Id="rId177" Type="http://schemas.openxmlformats.org/officeDocument/2006/relationships/ctrlProp" Target="../ctrlProps/ctrlProp225.xml"/><Relationship Id="rId198" Type="http://schemas.openxmlformats.org/officeDocument/2006/relationships/ctrlProp" Target="../ctrlProps/ctrlProp246.xml"/><Relationship Id="rId202" Type="http://schemas.openxmlformats.org/officeDocument/2006/relationships/ctrlProp" Target="../ctrlProps/ctrlProp250.xml"/><Relationship Id="rId223" Type="http://schemas.openxmlformats.org/officeDocument/2006/relationships/ctrlProp" Target="../ctrlProps/ctrlProp271.xml"/><Relationship Id="rId18" Type="http://schemas.openxmlformats.org/officeDocument/2006/relationships/ctrlProp" Target="../ctrlProps/ctrlProp66.xml"/><Relationship Id="rId39" Type="http://schemas.openxmlformats.org/officeDocument/2006/relationships/ctrlProp" Target="../ctrlProps/ctrlProp87.xml"/><Relationship Id="rId50" Type="http://schemas.openxmlformats.org/officeDocument/2006/relationships/ctrlProp" Target="../ctrlProps/ctrlProp98.xml"/><Relationship Id="rId104" Type="http://schemas.openxmlformats.org/officeDocument/2006/relationships/ctrlProp" Target="../ctrlProps/ctrlProp152.xml"/><Relationship Id="rId125" Type="http://schemas.openxmlformats.org/officeDocument/2006/relationships/ctrlProp" Target="../ctrlProps/ctrlProp173.xml"/><Relationship Id="rId146" Type="http://schemas.openxmlformats.org/officeDocument/2006/relationships/ctrlProp" Target="../ctrlProps/ctrlProp194.xml"/><Relationship Id="rId167" Type="http://schemas.openxmlformats.org/officeDocument/2006/relationships/ctrlProp" Target="../ctrlProps/ctrlProp215.xml"/><Relationship Id="rId188" Type="http://schemas.openxmlformats.org/officeDocument/2006/relationships/ctrlProp" Target="../ctrlProps/ctrlProp236.xml"/><Relationship Id="rId71" Type="http://schemas.openxmlformats.org/officeDocument/2006/relationships/ctrlProp" Target="../ctrlProps/ctrlProp119.xml"/><Relationship Id="rId92" Type="http://schemas.openxmlformats.org/officeDocument/2006/relationships/ctrlProp" Target="../ctrlProps/ctrlProp140.xml"/><Relationship Id="rId213" Type="http://schemas.openxmlformats.org/officeDocument/2006/relationships/ctrlProp" Target="../ctrlProps/ctrlProp261.xml"/><Relationship Id="rId2" Type="http://schemas.openxmlformats.org/officeDocument/2006/relationships/drawing" Target="../drawings/drawing22.xml"/><Relationship Id="rId29" Type="http://schemas.openxmlformats.org/officeDocument/2006/relationships/ctrlProp" Target="../ctrlProps/ctrlProp77.xml"/><Relationship Id="rId40" Type="http://schemas.openxmlformats.org/officeDocument/2006/relationships/ctrlProp" Target="../ctrlProps/ctrlProp88.xml"/><Relationship Id="rId115" Type="http://schemas.openxmlformats.org/officeDocument/2006/relationships/ctrlProp" Target="../ctrlProps/ctrlProp163.xml"/><Relationship Id="rId136" Type="http://schemas.openxmlformats.org/officeDocument/2006/relationships/ctrlProp" Target="../ctrlProps/ctrlProp184.xml"/><Relationship Id="rId157" Type="http://schemas.openxmlformats.org/officeDocument/2006/relationships/ctrlProp" Target="../ctrlProps/ctrlProp205.xml"/><Relationship Id="rId178" Type="http://schemas.openxmlformats.org/officeDocument/2006/relationships/ctrlProp" Target="../ctrlProps/ctrlProp226.xml"/><Relationship Id="rId61" Type="http://schemas.openxmlformats.org/officeDocument/2006/relationships/ctrlProp" Target="../ctrlProps/ctrlProp109.xml"/><Relationship Id="rId82" Type="http://schemas.openxmlformats.org/officeDocument/2006/relationships/ctrlProp" Target="../ctrlProps/ctrlProp130.xml"/><Relationship Id="rId199" Type="http://schemas.openxmlformats.org/officeDocument/2006/relationships/ctrlProp" Target="../ctrlProps/ctrlProp247.xml"/><Relationship Id="rId203" Type="http://schemas.openxmlformats.org/officeDocument/2006/relationships/ctrlProp" Target="../ctrlProps/ctrlProp251.xml"/><Relationship Id="rId19" Type="http://schemas.openxmlformats.org/officeDocument/2006/relationships/ctrlProp" Target="../ctrlProps/ctrlProp67.xml"/><Relationship Id="rId224" Type="http://schemas.openxmlformats.org/officeDocument/2006/relationships/ctrlProp" Target="../ctrlProps/ctrlProp272.xml"/><Relationship Id="rId30" Type="http://schemas.openxmlformats.org/officeDocument/2006/relationships/ctrlProp" Target="../ctrlProps/ctrlProp78.xml"/><Relationship Id="rId105" Type="http://schemas.openxmlformats.org/officeDocument/2006/relationships/ctrlProp" Target="../ctrlProps/ctrlProp153.xml"/><Relationship Id="rId126" Type="http://schemas.openxmlformats.org/officeDocument/2006/relationships/ctrlProp" Target="../ctrlProps/ctrlProp174.xml"/><Relationship Id="rId147" Type="http://schemas.openxmlformats.org/officeDocument/2006/relationships/ctrlProp" Target="../ctrlProps/ctrlProp195.xml"/><Relationship Id="rId168" Type="http://schemas.openxmlformats.org/officeDocument/2006/relationships/ctrlProp" Target="../ctrlProps/ctrlProp216.xml"/><Relationship Id="rId51" Type="http://schemas.openxmlformats.org/officeDocument/2006/relationships/ctrlProp" Target="../ctrlProps/ctrlProp99.xml"/><Relationship Id="rId72" Type="http://schemas.openxmlformats.org/officeDocument/2006/relationships/ctrlProp" Target="../ctrlProps/ctrlProp120.xml"/><Relationship Id="rId93" Type="http://schemas.openxmlformats.org/officeDocument/2006/relationships/ctrlProp" Target="../ctrlProps/ctrlProp141.xml"/><Relationship Id="rId189" Type="http://schemas.openxmlformats.org/officeDocument/2006/relationships/ctrlProp" Target="../ctrlProps/ctrlProp237.xml"/></Relationships>
</file>

<file path=xl/worksheets/_rels/sheet26.xml.rels><?xml version="1.0" encoding="UTF-8" standalone="yes"?>
<Relationships xmlns="http://schemas.openxmlformats.org/package/2006/relationships"><Relationship Id="rId117" Type="http://schemas.openxmlformats.org/officeDocument/2006/relationships/ctrlProp" Target="../ctrlProps/ctrlProp390.xml"/><Relationship Id="rId21" Type="http://schemas.openxmlformats.org/officeDocument/2006/relationships/ctrlProp" Target="../ctrlProps/ctrlProp294.xml"/><Relationship Id="rId42" Type="http://schemas.openxmlformats.org/officeDocument/2006/relationships/ctrlProp" Target="../ctrlProps/ctrlProp315.xml"/><Relationship Id="rId63" Type="http://schemas.openxmlformats.org/officeDocument/2006/relationships/ctrlProp" Target="../ctrlProps/ctrlProp336.xml"/><Relationship Id="rId84" Type="http://schemas.openxmlformats.org/officeDocument/2006/relationships/ctrlProp" Target="../ctrlProps/ctrlProp357.xml"/><Relationship Id="rId138" Type="http://schemas.openxmlformats.org/officeDocument/2006/relationships/ctrlProp" Target="../ctrlProps/ctrlProp411.xml"/><Relationship Id="rId159" Type="http://schemas.openxmlformats.org/officeDocument/2006/relationships/ctrlProp" Target="../ctrlProps/ctrlProp432.xml"/><Relationship Id="rId170" Type="http://schemas.openxmlformats.org/officeDocument/2006/relationships/ctrlProp" Target="../ctrlProps/ctrlProp443.xml"/><Relationship Id="rId191" Type="http://schemas.openxmlformats.org/officeDocument/2006/relationships/ctrlProp" Target="../ctrlProps/ctrlProp464.xml"/><Relationship Id="rId205" Type="http://schemas.openxmlformats.org/officeDocument/2006/relationships/ctrlProp" Target="../ctrlProps/ctrlProp478.xml"/><Relationship Id="rId226" Type="http://schemas.openxmlformats.org/officeDocument/2006/relationships/ctrlProp" Target="../ctrlProps/ctrlProp499.xml"/><Relationship Id="rId107" Type="http://schemas.openxmlformats.org/officeDocument/2006/relationships/ctrlProp" Target="../ctrlProps/ctrlProp380.xml"/><Relationship Id="rId11" Type="http://schemas.openxmlformats.org/officeDocument/2006/relationships/ctrlProp" Target="../ctrlProps/ctrlProp284.xml"/><Relationship Id="rId32" Type="http://schemas.openxmlformats.org/officeDocument/2006/relationships/ctrlProp" Target="../ctrlProps/ctrlProp305.xml"/><Relationship Id="rId53" Type="http://schemas.openxmlformats.org/officeDocument/2006/relationships/ctrlProp" Target="../ctrlProps/ctrlProp326.xml"/><Relationship Id="rId74" Type="http://schemas.openxmlformats.org/officeDocument/2006/relationships/ctrlProp" Target="../ctrlProps/ctrlProp347.xml"/><Relationship Id="rId128" Type="http://schemas.openxmlformats.org/officeDocument/2006/relationships/ctrlProp" Target="../ctrlProps/ctrlProp401.xml"/><Relationship Id="rId149" Type="http://schemas.openxmlformats.org/officeDocument/2006/relationships/ctrlProp" Target="../ctrlProps/ctrlProp422.xml"/><Relationship Id="rId5" Type="http://schemas.openxmlformats.org/officeDocument/2006/relationships/ctrlProp" Target="../ctrlProps/ctrlProp278.xml"/><Relationship Id="rId95" Type="http://schemas.openxmlformats.org/officeDocument/2006/relationships/ctrlProp" Target="../ctrlProps/ctrlProp368.xml"/><Relationship Id="rId160" Type="http://schemas.openxmlformats.org/officeDocument/2006/relationships/ctrlProp" Target="../ctrlProps/ctrlProp433.xml"/><Relationship Id="rId181" Type="http://schemas.openxmlformats.org/officeDocument/2006/relationships/ctrlProp" Target="../ctrlProps/ctrlProp454.xml"/><Relationship Id="rId216" Type="http://schemas.openxmlformats.org/officeDocument/2006/relationships/ctrlProp" Target="../ctrlProps/ctrlProp489.xml"/><Relationship Id="rId22" Type="http://schemas.openxmlformats.org/officeDocument/2006/relationships/ctrlProp" Target="../ctrlProps/ctrlProp295.xml"/><Relationship Id="rId43" Type="http://schemas.openxmlformats.org/officeDocument/2006/relationships/ctrlProp" Target="../ctrlProps/ctrlProp316.xml"/><Relationship Id="rId64" Type="http://schemas.openxmlformats.org/officeDocument/2006/relationships/ctrlProp" Target="../ctrlProps/ctrlProp337.xml"/><Relationship Id="rId118" Type="http://schemas.openxmlformats.org/officeDocument/2006/relationships/ctrlProp" Target="../ctrlProps/ctrlProp391.xml"/><Relationship Id="rId139" Type="http://schemas.openxmlformats.org/officeDocument/2006/relationships/ctrlProp" Target="../ctrlProps/ctrlProp412.xml"/><Relationship Id="rId85" Type="http://schemas.openxmlformats.org/officeDocument/2006/relationships/ctrlProp" Target="../ctrlProps/ctrlProp358.xml"/><Relationship Id="rId150" Type="http://schemas.openxmlformats.org/officeDocument/2006/relationships/ctrlProp" Target="../ctrlProps/ctrlProp423.xml"/><Relationship Id="rId171" Type="http://schemas.openxmlformats.org/officeDocument/2006/relationships/ctrlProp" Target="../ctrlProps/ctrlProp444.xml"/><Relationship Id="rId192" Type="http://schemas.openxmlformats.org/officeDocument/2006/relationships/ctrlProp" Target="../ctrlProps/ctrlProp465.xml"/><Relationship Id="rId206" Type="http://schemas.openxmlformats.org/officeDocument/2006/relationships/ctrlProp" Target="../ctrlProps/ctrlProp479.xml"/><Relationship Id="rId227" Type="http://schemas.openxmlformats.org/officeDocument/2006/relationships/ctrlProp" Target="../ctrlProps/ctrlProp500.xml"/><Relationship Id="rId12" Type="http://schemas.openxmlformats.org/officeDocument/2006/relationships/ctrlProp" Target="../ctrlProps/ctrlProp285.xml"/><Relationship Id="rId33" Type="http://schemas.openxmlformats.org/officeDocument/2006/relationships/ctrlProp" Target="../ctrlProps/ctrlProp306.xml"/><Relationship Id="rId108" Type="http://schemas.openxmlformats.org/officeDocument/2006/relationships/ctrlProp" Target="../ctrlProps/ctrlProp381.xml"/><Relationship Id="rId129" Type="http://schemas.openxmlformats.org/officeDocument/2006/relationships/ctrlProp" Target="../ctrlProps/ctrlProp402.xml"/><Relationship Id="rId54" Type="http://schemas.openxmlformats.org/officeDocument/2006/relationships/ctrlProp" Target="../ctrlProps/ctrlProp327.xml"/><Relationship Id="rId75" Type="http://schemas.openxmlformats.org/officeDocument/2006/relationships/ctrlProp" Target="../ctrlProps/ctrlProp348.xml"/><Relationship Id="rId96" Type="http://schemas.openxmlformats.org/officeDocument/2006/relationships/ctrlProp" Target="../ctrlProps/ctrlProp369.xml"/><Relationship Id="rId140" Type="http://schemas.openxmlformats.org/officeDocument/2006/relationships/ctrlProp" Target="../ctrlProps/ctrlProp413.xml"/><Relationship Id="rId161" Type="http://schemas.openxmlformats.org/officeDocument/2006/relationships/ctrlProp" Target="../ctrlProps/ctrlProp434.xml"/><Relationship Id="rId182" Type="http://schemas.openxmlformats.org/officeDocument/2006/relationships/ctrlProp" Target="../ctrlProps/ctrlProp455.xml"/><Relationship Id="rId217" Type="http://schemas.openxmlformats.org/officeDocument/2006/relationships/ctrlProp" Target="../ctrlProps/ctrlProp490.xml"/><Relationship Id="rId6" Type="http://schemas.openxmlformats.org/officeDocument/2006/relationships/ctrlProp" Target="../ctrlProps/ctrlProp279.xml"/><Relationship Id="rId23" Type="http://schemas.openxmlformats.org/officeDocument/2006/relationships/ctrlProp" Target="../ctrlProps/ctrlProp296.xml"/><Relationship Id="rId119" Type="http://schemas.openxmlformats.org/officeDocument/2006/relationships/ctrlProp" Target="../ctrlProps/ctrlProp392.xml"/><Relationship Id="rId44" Type="http://schemas.openxmlformats.org/officeDocument/2006/relationships/ctrlProp" Target="../ctrlProps/ctrlProp317.xml"/><Relationship Id="rId65" Type="http://schemas.openxmlformats.org/officeDocument/2006/relationships/ctrlProp" Target="../ctrlProps/ctrlProp338.xml"/><Relationship Id="rId86" Type="http://schemas.openxmlformats.org/officeDocument/2006/relationships/ctrlProp" Target="../ctrlProps/ctrlProp359.xml"/><Relationship Id="rId130" Type="http://schemas.openxmlformats.org/officeDocument/2006/relationships/ctrlProp" Target="../ctrlProps/ctrlProp403.xml"/><Relationship Id="rId151" Type="http://schemas.openxmlformats.org/officeDocument/2006/relationships/ctrlProp" Target="../ctrlProps/ctrlProp424.xml"/><Relationship Id="rId172" Type="http://schemas.openxmlformats.org/officeDocument/2006/relationships/ctrlProp" Target="../ctrlProps/ctrlProp445.xml"/><Relationship Id="rId193" Type="http://schemas.openxmlformats.org/officeDocument/2006/relationships/ctrlProp" Target="../ctrlProps/ctrlProp466.xml"/><Relationship Id="rId207" Type="http://schemas.openxmlformats.org/officeDocument/2006/relationships/ctrlProp" Target="../ctrlProps/ctrlProp480.xml"/><Relationship Id="rId228" Type="http://schemas.openxmlformats.org/officeDocument/2006/relationships/ctrlProp" Target="../ctrlProps/ctrlProp501.xml"/><Relationship Id="rId13" Type="http://schemas.openxmlformats.org/officeDocument/2006/relationships/ctrlProp" Target="../ctrlProps/ctrlProp286.xml"/><Relationship Id="rId109" Type="http://schemas.openxmlformats.org/officeDocument/2006/relationships/ctrlProp" Target="../ctrlProps/ctrlProp382.xml"/><Relationship Id="rId34" Type="http://schemas.openxmlformats.org/officeDocument/2006/relationships/ctrlProp" Target="../ctrlProps/ctrlProp307.xml"/><Relationship Id="rId55" Type="http://schemas.openxmlformats.org/officeDocument/2006/relationships/ctrlProp" Target="../ctrlProps/ctrlProp328.xml"/><Relationship Id="rId76" Type="http://schemas.openxmlformats.org/officeDocument/2006/relationships/ctrlProp" Target="../ctrlProps/ctrlProp349.xml"/><Relationship Id="rId97" Type="http://schemas.openxmlformats.org/officeDocument/2006/relationships/ctrlProp" Target="../ctrlProps/ctrlProp370.xml"/><Relationship Id="rId120" Type="http://schemas.openxmlformats.org/officeDocument/2006/relationships/ctrlProp" Target="../ctrlProps/ctrlProp393.xml"/><Relationship Id="rId141" Type="http://schemas.openxmlformats.org/officeDocument/2006/relationships/ctrlProp" Target="../ctrlProps/ctrlProp414.xml"/><Relationship Id="rId7" Type="http://schemas.openxmlformats.org/officeDocument/2006/relationships/ctrlProp" Target="../ctrlProps/ctrlProp280.xml"/><Relationship Id="rId162" Type="http://schemas.openxmlformats.org/officeDocument/2006/relationships/ctrlProp" Target="../ctrlProps/ctrlProp435.xml"/><Relationship Id="rId183" Type="http://schemas.openxmlformats.org/officeDocument/2006/relationships/ctrlProp" Target="../ctrlProps/ctrlProp456.xml"/><Relationship Id="rId218" Type="http://schemas.openxmlformats.org/officeDocument/2006/relationships/ctrlProp" Target="../ctrlProps/ctrlProp491.xml"/><Relationship Id="rId24" Type="http://schemas.openxmlformats.org/officeDocument/2006/relationships/ctrlProp" Target="../ctrlProps/ctrlProp297.xml"/><Relationship Id="rId45" Type="http://schemas.openxmlformats.org/officeDocument/2006/relationships/ctrlProp" Target="../ctrlProps/ctrlProp318.xml"/><Relationship Id="rId66" Type="http://schemas.openxmlformats.org/officeDocument/2006/relationships/ctrlProp" Target="../ctrlProps/ctrlProp339.xml"/><Relationship Id="rId87" Type="http://schemas.openxmlformats.org/officeDocument/2006/relationships/ctrlProp" Target="../ctrlProps/ctrlProp360.xml"/><Relationship Id="rId110" Type="http://schemas.openxmlformats.org/officeDocument/2006/relationships/ctrlProp" Target="../ctrlProps/ctrlProp383.xml"/><Relationship Id="rId131" Type="http://schemas.openxmlformats.org/officeDocument/2006/relationships/ctrlProp" Target="../ctrlProps/ctrlProp404.xml"/><Relationship Id="rId152" Type="http://schemas.openxmlformats.org/officeDocument/2006/relationships/ctrlProp" Target="../ctrlProps/ctrlProp425.xml"/><Relationship Id="rId173" Type="http://schemas.openxmlformats.org/officeDocument/2006/relationships/ctrlProp" Target="../ctrlProps/ctrlProp446.xml"/><Relationship Id="rId194" Type="http://schemas.openxmlformats.org/officeDocument/2006/relationships/ctrlProp" Target="../ctrlProps/ctrlProp467.xml"/><Relationship Id="rId208" Type="http://schemas.openxmlformats.org/officeDocument/2006/relationships/ctrlProp" Target="../ctrlProps/ctrlProp481.xml"/><Relationship Id="rId14" Type="http://schemas.openxmlformats.org/officeDocument/2006/relationships/ctrlProp" Target="../ctrlProps/ctrlProp287.xml"/><Relationship Id="rId35" Type="http://schemas.openxmlformats.org/officeDocument/2006/relationships/ctrlProp" Target="../ctrlProps/ctrlProp308.xml"/><Relationship Id="rId56" Type="http://schemas.openxmlformats.org/officeDocument/2006/relationships/ctrlProp" Target="../ctrlProps/ctrlProp329.xml"/><Relationship Id="rId77" Type="http://schemas.openxmlformats.org/officeDocument/2006/relationships/ctrlProp" Target="../ctrlProps/ctrlProp350.xml"/><Relationship Id="rId100" Type="http://schemas.openxmlformats.org/officeDocument/2006/relationships/ctrlProp" Target="../ctrlProps/ctrlProp373.xml"/><Relationship Id="rId8" Type="http://schemas.openxmlformats.org/officeDocument/2006/relationships/ctrlProp" Target="../ctrlProps/ctrlProp281.xml"/><Relationship Id="rId98" Type="http://schemas.openxmlformats.org/officeDocument/2006/relationships/ctrlProp" Target="../ctrlProps/ctrlProp371.xml"/><Relationship Id="rId121" Type="http://schemas.openxmlformats.org/officeDocument/2006/relationships/ctrlProp" Target="../ctrlProps/ctrlProp394.xml"/><Relationship Id="rId142" Type="http://schemas.openxmlformats.org/officeDocument/2006/relationships/ctrlProp" Target="../ctrlProps/ctrlProp415.xml"/><Relationship Id="rId163" Type="http://schemas.openxmlformats.org/officeDocument/2006/relationships/ctrlProp" Target="../ctrlProps/ctrlProp436.xml"/><Relationship Id="rId184" Type="http://schemas.openxmlformats.org/officeDocument/2006/relationships/ctrlProp" Target="../ctrlProps/ctrlProp457.xml"/><Relationship Id="rId219" Type="http://schemas.openxmlformats.org/officeDocument/2006/relationships/ctrlProp" Target="../ctrlProps/ctrlProp492.xml"/><Relationship Id="rId3" Type="http://schemas.openxmlformats.org/officeDocument/2006/relationships/vmlDrawing" Target="../drawings/vmlDrawing15.vml"/><Relationship Id="rId214" Type="http://schemas.openxmlformats.org/officeDocument/2006/relationships/ctrlProp" Target="../ctrlProps/ctrlProp487.xml"/><Relationship Id="rId25" Type="http://schemas.openxmlformats.org/officeDocument/2006/relationships/ctrlProp" Target="../ctrlProps/ctrlProp298.xml"/><Relationship Id="rId46" Type="http://schemas.openxmlformats.org/officeDocument/2006/relationships/ctrlProp" Target="../ctrlProps/ctrlProp319.xml"/><Relationship Id="rId67" Type="http://schemas.openxmlformats.org/officeDocument/2006/relationships/ctrlProp" Target="../ctrlProps/ctrlProp340.xml"/><Relationship Id="rId116" Type="http://schemas.openxmlformats.org/officeDocument/2006/relationships/ctrlProp" Target="../ctrlProps/ctrlProp389.xml"/><Relationship Id="rId137" Type="http://schemas.openxmlformats.org/officeDocument/2006/relationships/ctrlProp" Target="../ctrlProps/ctrlProp410.xml"/><Relationship Id="rId158" Type="http://schemas.openxmlformats.org/officeDocument/2006/relationships/ctrlProp" Target="../ctrlProps/ctrlProp431.xml"/><Relationship Id="rId20" Type="http://schemas.openxmlformats.org/officeDocument/2006/relationships/ctrlProp" Target="../ctrlProps/ctrlProp293.xml"/><Relationship Id="rId41" Type="http://schemas.openxmlformats.org/officeDocument/2006/relationships/ctrlProp" Target="../ctrlProps/ctrlProp314.xml"/><Relationship Id="rId62" Type="http://schemas.openxmlformats.org/officeDocument/2006/relationships/ctrlProp" Target="../ctrlProps/ctrlProp335.xml"/><Relationship Id="rId83" Type="http://schemas.openxmlformats.org/officeDocument/2006/relationships/ctrlProp" Target="../ctrlProps/ctrlProp356.xml"/><Relationship Id="rId88" Type="http://schemas.openxmlformats.org/officeDocument/2006/relationships/ctrlProp" Target="../ctrlProps/ctrlProp361.xml"/><Relationship Id="rId111" Type="http://schemas.openxmlformats.org/officeDocument/2006/relationships/ctrlProp" Target="../ctrlProps/ctrlProp384.xml"/><Relationship Id="rId132" Type="http://schemas.openxmlformats.org/officeDocument/2006/relationships/ctrlProp" Target="../ctrlProps/ctrlProp405.xml"/><Relationship Id="rId153" Type="http://schemas.openxmlformats.org/officeDocument/2006/relationships/ctrlProp" Target="../ctrlProps/ctrlProp426.xml"/><Relationship Id="rId174" Type="http://schemas.openxmlformats.org/officeDocument/2006/relationships/ctrlProp" Target="../ctrlProps/ctrlProp447.xml"/><Relationship Id="rId179" Type="http://schemas.openxmlformats.org/officeDocument/2006/relationships/ctrlProp" Target="../ctrlProps/ctrlProp452.xml"/><Relationship Id="rId195" Type="http://schemas.openxmlformats.org/officeDocument/2006/relationships/ctrlProp" Target="../ctrlProps/ctrlProp468.xml"/><Relationship Id="rId209" Type="http://schemas.openxmlformats.org/officeDocument/2006/relationships/ctrlProp" Target="../ctrlProps/ctrlProp482.xml"/><Relationship Id="rId190" Type="http://schemas.openxmlformats.org/officeDocument/2006/relationships/ctrlProp" Target="../ctrlProps/ctrlProp463.xml"/><Relationship Id="rId204" Type="http://schemas.openxmlformats.org/officeDocument/2006/relationships/ctrlProp" Target="../ctrlProps/ctrlProp477.xml"/><Relationship Id="rId220" Type="http://schemas.openxmlformats.org/officeDocument/2006/relationships/ctrlProp" Target="../ctrlProps/ctrlProp493.xml"/><Relationship Id="rId225" Type="http://schemas.openxmlformats.org/officeDocument/2006/relationships/ctrlProp" Target="../ctrlProps/ctrlProp498.xml"/><Relationship Id="rId15" Type="http://schemas.openxmlformats.org/officeDocument/2006/relationships/ctrlProp" Target="../ctrlProps/ctrlProp288.xml"/><Relationship Id="rId36" Type="http://schemas.openxmlformats.org/officeDocument/2006/relationships/ctrlProp" Target="../ctrlProps/ctrlProp309.xml"/><Relationship Id="rId57" Type="http://schemas.openxmlformats.org/officeDocument/2006/relationships/ctrlProp" Target="../ctrlProps/ctrlProp330.xml"/><Relationship Id="rId106" Type="http://schemas.openxmlformats.org/officeDocument/2006/relationships/ctrlProp" Target="../ctrlProps/ctrlProp379.xml"/><Relationship Id="rId127" Type="http://schemas.openxmlformats.org/officeDocument/2006/relationships/ctrlProp" Target="../ctrlProps/ctrlProp400.xml"/><Relationship Id="rId10" Type="http://schemas.openxmlformats.org/officeDocument/2006/relationships/ctrlProp" Target="../ctrlProps/ctrlProp283.xml"/><Relationship Id="rId31" Type="http://schemas.openxmlformats.org/officeDocument/2006/relationships/ctrlProp" Target="../ctrlProps/ctrlProp304.xml"/><Relationship Id="rId52" Type="http://schemas.openxmlformats.org/officeDocument/2006/relationships/ctrlProp" Target="../ctrlProps/ctrlProp325.xml"/><Relationship Id="rId73" Type="http://schemas.openxmlformats.org/officeDocument/2006/relationships/ctrlProp" Target="../ctrlProps/ctrlProp346.xml"/><Relationship Id="rId78" Type="http://schemas.openxmlformats.org/officeDocument/2006/relationships/ctrlProp" Target="../ctrlProps/ctrlProp351.xml"/><Relationship Id="rId94" Type="http://schemas.openxmlformats.org/officeDocument/2006/relationships/ctrlProp" Target="../ctrlProps/ctrlProp367.xml"/><Relationship Id="rId99" Type="http://schemas.openxmlformats.org/officeDocument/2006/relationships/ctrlProp" Target="../ctrlProps/ctrlProp372.xml"/><Relationship Id="rId101" Type="http://schemas.openxmlformats.org/officeDocument/2006/relationships/ctrlProp" Target="../ctrlProps/ctrlProp374.xml"/><Relationship Id="rId122" Type="http://schemas.openxmlformats.org/officeDocument/2006/relationships/ctrlProp" Target="../ctrlProps/ctrlProp395.xml"/><Relationship Id="rId143" Type="http://schemas.openxmlformats.org/officeDocument/2006/relationships/ctrlProp" Target="../ctrlProps/ctrlProp416.xml"/><Relationship Id="rId148" Type="http://schemas.openxmlformats.org/officeDocument/2006/relationships/ctrlProp" Target="../ctrlProps/ctrlProp421.xml"/><Relationship Id="rId164" Type="http://schemas.openxmlformats.org/officeDocument/2006/relationships/ctrlProp" Target="../ctrlProps/ctrlProp437.xml"/><Relationship Id="rId169" Type="http://schemas.openxmlformats.org/officeDocument/2006/relationships/ctrlProp" Target="../ctrlProps/ctrlProp442.xml"/><Relationship Id="rId185" Type="http://schemas.openxmlformats.org/officeDocument/2006/relationships/ctrlProp" Target="../ctrlProps/ctrlProp458.xml"/><Relationship Id="rId4" Type="http://schemas.openxmlformats.org/officeDocument/2006/relationships/ctrlProp" Target="../ctrlProps/ctrlProp277.xml"/><Relationship Id="rId9" Type="http://schemas.openxmlformats.org/officeDocument/2006/relationships/ctrlProp" Target="../ctrlProps/ctrlProp282.xml"/><Relationship Id="rId180" Type="http://schemas.openxmlformats.org/officeDocument/2006/relationships/ctrlProp" Target="../ctrlProps/ctrlProp453.xml"/><Relationship Id="rId210" Type="http://schemas.openxmlformats.org/officeDocument/2006/relationships/ctrlProp" Target="../ctrlProps/ctrlProp483.xml"/><Relationship Id="rId215" Type="http://schemas.openxmlformats.org/officeDocument/2006/relationships/ctrlProp" Target="../ctrlProps/ctrlProp488.xml"/><Relationship Id="rId26" Type="http://schemas.openxmlformats.org/officeDocument/2006/relationships/ctrlProp" Target="../ctrlProps/ctrlProp299.xml"/><Relationship Id="rId47" Type="http://schemas.openxmlformats.org/officeDocument/2006/relationships/ctrlProp" Target="../ctrlProps/ctrlProp320.xml"/><Relationship Id="rId68" Type="http://schemas.openxmlformats.org/officeDocument/2006/relationships/ctrlProp" Target="../ctrlProps/ctrlProp341.xml"/><Relationship Id="rId89" Type="http://schemas.openxmlformats.org/officeDocument/2006/relationships/ctrlProp" Target="../ctrlProps/ctrlProp362.xml"/><Relationship Id="rId112" Type="http://schemas.openxmlformats.org/officeDocument/2006/relationships/ctrlProp" Target="../ctrlProps/ctrlProp385.xml"/><Relationship Id="rId133" Type="http://schemas.openxmlformats.org/officeDocument/2006/relationships/ctrlProp" Target="../ctrlProps/ctrlProp406.xml"/><Relationship Id="rId154" Type="http://schemas.openxmlformats.org/officeDocument/2006/relationships/ctrlProp" Target="../ctrlProps/ctrlProp427.xml"/><Relationship Id="rId175" Type="http://schemas.openxmlformats.org/officeDocument/2006/relationships/ctrlProp" Target="../ctrlProps/ctrlProp448.xml"/><Relationship Id="rId196" Type="http://schemas.openxmlformats.org/officeDocument/2006/relationships/ctrlProp" Target="../ctrlProps/ctrlProp469.xml"/><Relationship Id="rId200" Type="http://schemas.openxmlformats.org/officeDocument/2006/relationships/ctrlProp" Target="../ctrlProps/ctrlProp473.xml"/><Relationship Id="rId16" Type="http://schemas.openxmlformats.org/officeDocument/2006/relationships/ctrlProp" Target="../ctrlProps/ctrlProp289.xml"/><Relationship Id="rId221" Type="http://schemas.openxmlformats.org/officeDocument/2006/relationships/ctrlProp" Target="../ctrlProps/ctrlProp494.xml"/><Relationship Id="rId37" Type="http://schemas.openxmlformats.org/officeDocument/2006/relationships/ctrlProp" Target="../ctrlProps/ctrlProp310.xml"/><Relationship Id="rId58" Type="http://schemas.openxmlformats.org/officeDocument/2006/relationships/ctrlProp" Target="../ctrlProps/ctrlProp331.xml"/><Relationship Id="rId79" Type="http://schemas.openxmlformats.org/officeDocument/2006/relationships/ctrlProp" Target="../ctrlProps/ctrlProp352.xml"/><Relationship Id="rId102" Type="http://schemas.openxmlformats.org/officeDocument/2006/relationships/ctrlProp" Target="../ctrlProps/ctrlProp375.xml"/><Relationship Id="rId123" Type="http://schemas.openxmlformats.org/officeDocument/2006/relationships/ctrlProp" Target="../ctrlProps/ctrlProp396.xml"/><Relationship Id="rId144" Type="http://schemas.openxmlformats.org/officeDocument/2006/relationships/ctrlProp" Target="../ctrlProps/ctrlProp417.xml"/><Relationship Id="rId90" Type="http://schemas.openxmlformats.org/officeDocument/2006/relationships/ctrlProp" Target="../ctrlProps/ctrlProp363.xml"/><Relationship Id="rId165" Type="http://schemas.openxmlformats.org/officeDocument/2006/relationships/ctrlProp" Target="../ctrlProps/ctrlProp438.xml"/><Relationship Id="rId186" Type="http://schemas.openxmlformats.org/officeDocument/2006/relationships/ctrlProp" Target="../ctrlProps/ctrlProp459.xml"/><Relationship Id="rId211" Type="http://schemas.openxmlformats.org/officeDocument/2006/relationships/ctrlProp" Target="../ctrlProps/ctrlProp484.xml"/><Relationship Id="rId27" Type="http://schemas.openxmlformats.org/officeDocument/2006/relationships/ctrlProp" Target="../ctrlProps/ctrlProp300.xml"/><Relationship Id="rId48" Type="http://schemas.openxmlformats.org/officeDocument/2006/relationships/ctrlProp" Target="../ctrlProps/ctrlProp321.xml"/><Relationship Id="rId69" Type="http://schemas.openxmlformats.org/officeDocument/2006/relationships/ctrlProp" Target="../ctrlProps/ctrlProp342.xml"/><Relationship Id="rId113" Type="http://schemas.openxmlformats.org/officeDocument/2006/relationships/ctrlProp" Target="../ctrlProps/ctrlProp386.xml"/><Relationship Id="rId134" Type="http://schemas.openxmlformats.org/officeDocument/2006/relationships/ctrlProp" Target="../ctrlProps/ctrlProp407.xml"/><Relationship Id="rId80" Type="http://schemas.openxmlformats.org/officeDocument/2006/relationships/ctrlProp" Target="../ctrlProps/ctrlProp353.xml"/><Relationship Id="rId155" Type="http://schemas.openxmlformats.org/officeDocument/2006/relationships/ctrlProp" Target="../ctrlProps/ctrlProp428.xml"/><Relationship Id="rId176" Type="http://schemas.openxmlformats.org/officeDocument/2006/relationships/ctrlProp" Target="../ctrlProps/ctrlProp449.xml"/><Relationship Id="rId197" Type="http://schemas.openxmlformats.org/officeDocument/2006/relationships/ctrlProp" Target="../ctrlProps/ctrlProp470.xml"/><Relationship Id="rId201" Type="http://schemas.openxmlformats.org/officeDocument/2006/relationships/ctrlProp" Target="../ctrlProps/ctrlProp474.xml"/><Relationship Id="rId222" Type="http://schemas.openxmlformats.org/officeDocument/2006/relationships/ctrlProp" Target="../ctrlProps/ctrlProp495.xml"/><Relationship Id="rId17" Type="http://schemas.openxmlformats.org/officeDocument/2006/relationships/ctrlProp" Target="../ctrlProps/ctrlProp290.xml"/><Relationship Id="rId38" Type="http://schemas.openxmlformats.org/officeDocument/2006/relationships/ctrlProp" Target="../ctrlProps/ctrlProp311.xml"/><Relationship Id="rId59" Type="http://schemas.openxmlformats.org/officeDocument/2006/relationships/ctrlProp" Target="../ctrlProps/ctrlProp332.xml"/><Relationship Id="rId103" Type="http://schemas.openxmlformats.org/officeDocument/2006/relationships/ctrlProp" Target="../ctrlProps/ctrlProp376.xml"/><Relationship Id="rId124" Type="http://schemas.openxmlformats.org/officeDocument/2006/relationships/ctrlProp" Target="../ctrlProps/ctrlProp397.xml"/><Relationship Id="rId70" Type="http://schemas.openxmlformats.org/officeDocument/2006/relationships/ctrlProp" Target="../ctrlProps/ctrlProp343.xml"/><Relationship Id="rId91" Type="http://schemas.openxmlformats.org/officeDocument/2006/relationships/ctrlProp" Target="../ctrlProps/ctrlProp364.xml"/><Relationship Id="rId145" Type="http://schemas.openxmlformats.org/officeDocument/2006/relationships/ctrlProp" Target="../ctrlProps/ctrlProp418.xml"/><Relationship Id="rId166" Type="http://schemas.openxmlformats.org/officeDocument/2006/relationships/ctrlProp" Target="../ctrlProps/ctrlProp439.xml"/><Relationship Id="rId187" Type="http://schemas.openxmlformats.org/officeDocument/2006/relationships/ctrlProp" Target="../ctrlProps/ctrlProp460.xml"/><Relationship Id="rId1" Type="http://schemas.openxmlformats.org/officeDocument/2006/relationships/printerSettings" Target="../printerSettings/printerSettings26.bin"/><Relationship Id="rId212" Type="http://schemas.openxmlformats.org/officeDocument/2006/relationships/ctrlProp" Target="../ctrlProps/ctrlProp485.xml"/><Relationship Id="rId28" Type="http://schemas.openxmlformats.org/officeDocument/2006/relationships/ctrlProp" Target="../ctrlProps/ctrlProp301.xml"/><Relationship Id="rId49" Type="http://schemas.openxmlformats.org/officeDocument/2006/relationships/ctrlProp" Target="../ctrlProps/ctrlProp322.xml"/><Relationship Id="rId114" Type="http://schemas.openxmlformats.org/officeDocument/2006/relationships/ctrlProp" Target="../ctrlProps/ctrlProp387.xml"/><Relationship Id="rId60" Type="http://schemas.openxmlformats.org/officeDocument/2006/relationships/ctrlProp" Target="../ctrlProps/ctrlProp333.xml"/><Relationship Id="rId81" Type="http://schemas.openxmlformats.org/officeDocument/2006/relationships/ctrlProp" Target="../ctrlProps/ctrlProp354.xml"/><Relationship Id="rId135" Type="http://schemas.openxmlformats.org/officeDocument/2006/relationships/ctrlProp" Target="../ctrlProps/ctrlProp408.xml"/><Relationship Id="rId156" Type="http://schemas.openxmlformats.org/officeDocument/2006/relationships/ctrlProp" Target="../ctrlProps/ctrlProp429.xml"/><Relationship Id="rId177" Type="http://schemas.openxmlformats.org/officeDocument/2006/relationships/ctrlProp" Target="../ctrlProps/ctrlProp450.xml"/><Relationship Id="rId198" Type="http://schemas.openxmlformats.org/officeDocument/2006/relationships/ctrlProp" Target="../ctrlProps/ctrlProp471.xml"/><Relationship Id="rId202" Type="http://schemas.openxmlformats.org/officeDocument/2006/relationships/ctrlProp" Target="../ctrlProps/ctrlProp475.xml"/><Relationship Id="rId223" Type="http://schemas.openxmlformats.org/officeDocument/2006/relationships/ctrlProp" Target="../ctrlProps/ctrlProp496.xml"/><Relationship Id="rId18" Type="http://schemas.openxmlformats.org/officeDocument/2006/relationships/ctrlProp" Target="../ctrlProps/ctrlProp291.xml"/><Relationship Id="rId39" Type="http://schemas.openxmlformats.org/officeDocument/2006/relationships/ctrlProp" Target="../ctrlProps/ctrlProp312.xml"/><Relationship Id="rId50" Type="http://schemas.openxmlformats.org/officeDocument/2006/relationships/ctrlProp" Target="../ctrlProps/ctrlProp323.xml"/><Relationship Id="rId104" Type="http://schemas.openxmlformats.org/officeDocument/2006/relationships/ctrlProp" Target="../ctrlProps/ctrlProp377.xml"/><Relationship Id="rId125" Type="http://schemas.openxmlformats.org/officeDocument/2006/relationships/ctrlProp" Target="../ctrlProps/ctrlProp398.xml"/><Relationship Id="rId146" Type="http://schemas.openxmlformats.org/officeDocument/2006/relationships/ctrlProp" Target="../ctrlProps/ctrlProp419.xml"/><Relationship Id="rId167" Type="http://schemas.openxmlformats.org/officeDocument/2006/relationships/ctrlProp" Target="../ctrlProps/ctrlProp440.xml"/><Relationship Id="rId188" Type="http://schemas.openxmlformats.org/officeDocument/2006/relationships/ctrlProp" Target="../ctrlProps/ctrlProp461.xml"/><Relationship Id="rId71" Type="http://schemas.openxmlformats.org/officeDocument/2006/relationships/ctrlProp" Target="../ctrlProps/ctrlProp344.xml"/><Relationship Id="rId92" Type="http://schemas.openxmlformats.org/officeDocument/2006/relationships/ctrlProp" Target="../ctrlProps/ctrlProp365.xml"/><Relationship Id="rId213" Type="http://schemas.openxmlformats.org/officeDocument/2006/relationships/ctrlProp" Target="../ctrlProps/ctrlProp486.xml"/><Relationship Id="rId2" Type="http://schemas.openxmlformats.org/officeDocument/2006/relationships/drawing" Target="../drawings/drawing23.xml"/><Relationship Id="rId29" Type="http://schemas.openxmlformats.org/officeDocument/2006/relationships/ctrlProp" Target="../ctrlProps/ctrlProp302.xml"/><Relationship Id="rId40" Type="http://schemas.openxmlformats.org/officeDocument/2006/relationships/ctrlProp" Target="../ctrlProps/ctrlProp313.xml"/><Relationship Id="rId115" Type="http://schemas.openxmlformats.org/officeDocument/2006/relationships/ctrlProp" Target="../ctrlProps/ctrlProp388.xml"/><Relationship Id="rId136" Type="http://schemas.openxmlformats.org/officeDocument/2006/relationships/ctrlProp" Target="../ctrlProps/ctrlProp409.xml"/><Relationship Id="rId157" Type="http://schemas.openxmlformats.org/officeDocument/2006/relationships/ctrlProp" Target="../ctrlProps/ctrlProp430.xml"/><Relationship Id="rId178" Type="http://schemas.openxmlformats.org/officeDocument/2006/relationships/ctrlProp" Target="../ctrlProps/ctrlProp451.xml"/><Relationship Id="rId61" Type="http://schemas.openxmlformats.org/officeDocument/2006/relationships/ctrlProp" Target="../ctrlProps/ctrlProp334.xml"/><Relationship Id="rId82" Type="http://schemas.openxmlformats.org/officeDocument/2006/relationships/ctrlProp" Target="../ctrlProps/ctrlProp355.xml"/><Relationship Id="rId199" Type="http://schemas.openxmlformats.org/officeDocument/2006/relationships/ctrlProp" Target="../ctrlProps/ctrlProp472.xml"/><Relationship Id="rId203" Type="http://schemas.openxmlformats.org/officeDocument/2006/relationships/ctrlProp" Target="../ctrlProps/ctrlProp476.xml"/><Relationship Id="rId19" Type="http://schemas.openxmlformats.org/officeDocument/2006/relationships/ctrlProp" Target="../ctrlProps/ctrlProp292.xml"/><Relationship Id="rId224" Type="http://schemas.openxmlformats.org/officeDocument/2006/relationships/ctrlProp" Target="../ctrlProps/ctrlProp497.xml"/><Relationship Id="rId30" Type="http://schemas.openxmlformats.org/officeDocument/2006/relationships/ctrlProp" Target="../ctrlProps/ctrlProp303.xml"/><Relationship Id="rId105" Type="http://schemas.openxmlformats.org/officeDocument/2006/relationships/ctrlProp" Target="../ctrlProps/ctrlProp378.xml"/><Relationship Id="rId126" Type="http://schemas.openxmlformats.org/officeDocument/2006/relationships/ctrlProp" Target="../ctrlProps/ctrlProp399.xml"/><Relationship Id="rId147" Type="http://schemas.openxmlformats.org/officeDocument/2006/relationships/ctrlProp" Target="../ctrlProps/ctrlProp420.xml"/><Relationship Id="rId168" Type="http://schemas.openxmlformats.org/officeDocument/2006/relationships/ctrlProp" Target="../ctrlProps/ctrlProp441.xml"/><Relationship Id="rId51" Type="http://schemas.openxmlformats.org/officeDocument/2006/relationships/ctrlProp" Target="../ctrlProps/ctrlProp324.xml"/><Relationship Id="rId72" Type="http://schemas.openxmlformats.org/officeDocument/2006/relationships/ctrlProp" Target="../ctrlProps/ctrlProp345.xml"/><Relationship Id="rId93" Type="http://schemas.openxmlformats.org/officeDocument/2006/relationships/ctrlProp" Target="../ctrlProps/ctrlProp366.xml"/><Relationship Id="rId189" Type="http://schemas.openxmlformats.org/officeDocument/2006/relationships/ctrlProp" Target="../ctrlProps/ctrlProp462.xml"/></Relationships>
</file>

<file path=xl/worksheets/_rels/sheet27.xml.rels><?xml version="1.0" encoding="UTF-8" standalone="yes"?>
<Relationships xmlns="http://schemas.openxmlformats.org/package/2006/relationships"><Relationship Id="rId26" Type="http://schemas.openxmlformats.org/officeDocument/2006/relationships/ctrlProp" Target="../ctrlProps/ctrlProp524.xml"/><Relationship Id="rId117" Type="http://schemas.openxmlformats.org/officeDocument/2006/relationships/ctrlProp" Target="../ctrlProps/ctrlProp615.xml"/><Relationship Id="rId21" Type="http://schemas.openxmlformats.org/officeDocument/2006/relationships/ctrlProp" Target="../ctrlProps/ctrlProp519.xml"/><Relationship Id="rId42" Type="http://schemas.openxmlformats.org/officeDocument/2006/relationships/ctrlProp" Target="../ctrlProps/ctrlProp540.xml"/><Relationship Id="rId47" Type="http://schemas.openxmlformats.org/officeDocument/2006/relationships/ctrlProp" Target="../ctrlProps/ctrlProp545.xml"/><Relationship Id="rId63" Type="http://schemas.openxmlformats.org/officeDocument/2006/relationships/ctrlProp" Target="../ctrlProps/ctrlProp561.xml"/><Relationship Id="rId68" Type="http://schemas.openxmlformats.org/officeDocument/2006/relationships/ctrlProp" Target="../ctrlProps/ctrlProp566.xml"/><Relationship Id="rId84" Type="http://schemas.openxmlformats.org/officeDocument/2006/relationships/ctrlProp" Target="../ctrlProps/ctrlProp582.xml"/><Relationship Id="rId89" Type="http://schemas.openxmlformats.org/officeDocument/2006/relationships/ctrlProp" Target="../ctrlProps/ctrlProp587.xml"/><Relationship Id="rId112" Type="http://schemas.openxmlformats.org/officeDocument/2006/relationships/ctrlProp" Target="../ctrlProps/ctrlProp610.xml"/><Relationship Id="rId16" Type="http://schemas.openxmlformats.org/officeDocument/2006/relationships/ctrlProp" Target="../ctrlProps/ctrlProp514.xml"/><Relationship Id="rId107" Type="http://schemas.openxmlformats.org/officeDocument/2006/relationships/ctrlProp" Target="../ctrlProps/ctrlProp605.xml"/><Relationship Id="rId11" Type="http://schemas.openxmlformats.org/officeDocument/2006/relationships/ctrlProp" Target="../ctrlProps/ctrlProp509.xml"/><Relationship Id="rId32" Type="http://schemas.openxmlformats.org/officeDocument/2006/relationships/ctrlProp" Target="../ctrlProps/ctrlProp530.xml"/><Relationship Id="rId37" Type="http://schemas.openxmlformats.org/officeDocument/2006/relationships/ctrlProp" Target="../ctrlProps/ctrlProp535.xml"/><Relationship Id="rId53" Type="http://schemas.openxmlformats.org/officeDocument/2006/relationships/ctrlProp" Target="../ctrlProps/ctrlProp551.xml"/><Relationship Id="rId58" Type="http://schemas.openxmlformats.org/officeDocument/2006/relationships/ctrlProp" Target="../ctrlProps/ctrlProp556.xml"/><Relationship Id="rId74" Type="http://schemas.openxmlformats.org/officeDocument/2006/relationships/ctrlProp" Target="../ctrlProps/ctrlProp572.xml"/><Relationship Id="rId79" Type="http://schemas.openxmlformats.org/officeDocument/2006/relationships/ctrlProp" Target="../ctrlProps/ctrlProp577.xml"/><Relationship Id="rId102" Type="http://schemas.openxmlformats.org/officeDocument/2006/relationships/ctrlProp" Target="../ctrlProps/ctrlProp600.xml"/><Relationship Id="rId123" Type="http://schemas.openxmlformats.org/officeDocument/2006/relationships/ctrlProp" Target="../ctrlProps/ctrlProp621.xml"/><Relationship Id="rId5" Type="http://schemas.openxmlformats.org/officeDocument/2006/relationships/ctrlProp" Target="../ctrlProps/ctrlProp503.xml"/><Relationship Id="rId90" Type="http://schemas.openxmlformats.org/officeDocument/2006/relationships/ctrlProp" Target="../ctrlProps/ctrlProp588.xml"/><Relationship Id="rId95" Type="http://schemas.openxmlformats.org/officeDocument/2006/relationships/ctrlProp" Target="../ctrlProps/ctrlProp593.xml"/><Relationship Id="rId22" Type="http://schemas.openxmlformats.org/officeDocument/2006/relationships/ctrlProp" Target="../ctrlProps/ctrlProp520.xml"/><Relationship Id="rId27" Type="http://schemas.openxmlformats.org/officeDocument/2006/relationships/ctrlProp" Target="../ctrlProps/ctrlProp525.xml"/><Relationship Id="rId43" Type="http://schemas.openxmlformats.org/officeDocument/2006/relationships/ctrlProp" Target="../ctrlProps/ctrlProp541.xml"/><Relationship Id="rId48" Type="http://schemas.openxmlformats.org/officeDocument/2006/relationships/ctrlProp" Target="../ctrlProps/ctrlProp546.xml"/><Relationship Id="rId64" Type="http://schemas.openxmlformats.org/officeDocument/2006/relationships/ctrlProp" Target="../ctrlProps/ctrlProp562.xml"/><Relationship Id="rId69" Type="http://schemas.openxmlformats.org/officeDocument/2006/relationships/ctrlProp" Target="../ctrlProps/ctrlProp567.xml"/><Relationship Id="rId113" Type="http://schemas.openxmlformats.org/officeDocument/2006/relationships/ctrlProp" Target="../ctrlProps/ctrlProp611.xml"/><Relationship Id="rId118" Type="http://schemas.openxmlformats.org/officeDocument/2006/relationships/ctrlProp" Target="../ctrlProps/ctrlProp616.xml"/><Relationship Id="rId80" Type="http://schemas.openxmlformats.org/officeDocument/2006/relationships/ctrlProp" Target="../ctrlProps/ctrlProp578.xml"/><Relationship Id="rId85" Type="http://schemas.openxmlformats.org/officeDocument/2006/relationships/ctrlProp" Target="../ctrlProps/ctrlProp583.xml"/><Relationship Id="rId12" Type="http://schemas.openxmlformats.org/officeDocument/2006/relationships/ctrlProp" Target="../ctrlProps/ctrlProp510.xml"/><Relationship Id="rId17" Type="http://schemas.openxmlformats.org/officeDocument/2006/relationships/ctrlProp" Target="../ctrlProps/ctrlProp515.xml"/><Relationship Id="rId33" Type="http://schemas.openxmlformats.org/officeDocument/2006/relationships/ctrlProp" Target="../ctrlProps/ctrlProp531.xml"/><Relationship Id="rId38" Type="http://schemas.openxmlformats.org/officeDocument/2006/relationships/ctrlProp" Target="../ctrlProps/ctrlProp536.xml"/><Relationship Id="rId59" Type="http://schemas.openxmlformats.org/officeDocument/2006/relationships/ctrlProp" Target="../ctrlProps/ctrlProp557.xml"/><Relationship Id="rId103" Type="http://schemas.openxmlformats.org/officeDocument/2006/relationships/ctrlProp" Target="../ctrlProps/ctrlProp601.xml"/><Relationship Id="rId108" Type="http://schemas.openxmlformats.org/officeDocument/2006/relationships/ctrlProp" Target="../ctrlProps/ctrlProp606.xml"/><Relationship Id="rId124" Type="http://schemas.openxmlformats.org/officeDocument/2006/relationships/ctrlProp" Target="../ctrlProps/ctrlProp622.xml"/><Relationship Id="rId54" Type="http://schemas.openxmlformats.org/officeDocument/2006/relationships/ctrlProp" Target="../ctrlProps/ctrlProp552.xml"/><Relationship Id="rId70" Type="http://schemas.openxmlformats.org/officeDocument/2006/relationships/ctrlProp" Target="../ctrlProps/ctrlProp568.xml"/><Relationship Id="rId75" Type="http://schemas.openxmlformats.org/officeDocument/2006/relationships/ctrlProp" Target="../ctrlProps/ctrlProp573.xml"/><Relationship Id="rId91" Type="http://schemas.openxmlformats.org/officeDocument/2006/relationships/ctrlProp" Target="../ctrlProps/ctrlProp589.xml"/><Relationship Id="rId96" Type="http://schemas.openxmlformats.org/officeDocument/2006/relationships/ctrlProp" Target="../ctrlProps/ctrlProp594.xml"/><Relationship Id="rId1" Type="http://schemas.openxmlformats.org/officeDocument/2006/relationships/printerSettings" Target="../printerSettings/printerSettings27.bin"/><Relationship Id="rId6" Type="http://schemas.openxmlformats.org/officeDocument/2006/relationships/ctrlProp" Target="../ctrlProps/ctrlProp504.xml"/><Relationship Id="rId23" Type="http://schemas.openxmlformats.org/officeDocument/2006/relationships/ctrlProp" Target="../ctrlProps/ctrlProp521.xml"/><Relationship Id="rId28" Type="http://schemas.openxmlformats.org/officeDocument/2006/relationships/ctrlProp" Target="../ctrlProps/ctrlProp526.xml"/><Relationship Id="rId49" Type="http://schemas.openxmlformats.org/officeDocument/2006/relationships/ctrlProp" Target="../ctrlProps/ctrlProp547.xml"/><Relationship Id="rId114" Type="http://schemas.openxmlformats.org/officeDocument/2006/relationships/ctrlProp" Target="../ctrlProps/ctrlProp612.xml"/><Relationship Id="rId119" Type="http://schemas.openxmlformats.org/officeDocument/2006/relationships/ctrlProp" Target="../ctrlProps/ctrlProp617.xml"/><Relationship Id="rId44" Type="http://schemas.openxmlformats.org/officeDocument/2006/relationships/ctrlProp" Target="../ctrlProps/ctrlProp542.xml"/><Relationship Id="rId60" Type="http://schemas.openxmlformats.org/officeDocument/2006/relationships/ctrlProp" Target="../ctrlProps/ctrlProp558.xml"/><Relationship Id="rId65" Type="http://schemas.openxmlformats.org/officeDocument/2006/relationships/ctrlProp" Target="../ctrlProps/ctrlProp563.xml"/><Relationship Id="rId81" Type="http://schemas.openxmlformats.org/officeDocument/2006/relationships/ctrlProp" Target="../ctrlProps/ctrlProp579.xml"/><Relationship Id="rId86" Type="http://schemas.openxmlformats.org/officeDocument/2006/relationships/ctrlProp" Target="../ctrlProps/ctrlProp584.xml"/><Relationship Id="rId13" Type="http://schemas.openxmlformats.org/officeDocument/2006/relationships/ctrlProp" Target="../ctrlProps/ctrlProp511.xml"/><Relationship Id="rId18" Type="http://schemas.openxmlformats.org/officeDocument/2006/relationships/ctrlProp" Target="../ctrlProps/ctrlProp516.xml"/><Relationship Id="rId39" Type="http://schemas.openxmlformats.org/officeDocument/2006/relationships/ctrlProp" Target="../ctrlProps/ctrlProp537.xml"/><Relationship Id="rId109" Type="http://schemas.openxmlformats.org/officeDocument/2006/relationships/ctrlProp" Target="../ctrlProps/ctrlProp607.xml"/><Relationship Id="rId34" Type="http://schemas.openxmlformats.org/officeDocument/2006/relationships/ctrlProp" Target="../ctrlProps/ctrlProp532.xml"/><Relationship Id="rId50" Type="http://schemas.openxmlformats.org/officeDocument/2006/relationships/ctrlProp" Target="../ctrlProps/ctrlProp548.xml"/><Relationship Id="rId55" Type="http://schemas.openxmlformats.org/officeDocument/2006/relationships/ctrlProp" Target="../ctrlProps/ctrlProp553.xml"/><Relationship Id="rId76" Type="http://schemas.openxmlformats.org/officeDocument/2006/relationships/ctrlProp" Target="../ctrlProps/ctrlProp574.xml"/><Relationship Id="rId97" Type="http://schemas.openxmlformats.org/officeDocument/2006/relationships/ctrlProp" Target="../ctrlProps/ctrlProp595.xml"/><Relationship Id="rId104" Type="http://schemas.openxmlformats.org/officeDocument/2006/relationships/ctrlProp" Target="../ctrlProps/ctrlProp602.xml"/><Relationship Id="rId120" Type="http://schemas.openxmlformats.org/officeDocument/2006/relationships/ctrlProp" Target="../ctrlProps/ctrlProp618.xml"/><Relationship Id="rId125" Type="http://schemas.openxmlformats.org/officeDocument/2006/relationships/ctrlProp" Target="../ctrlProps/ctrlProp623.xml"/><Relationship Id="rId7" Type="http://schemas.openxmlformats.org/officeDocument/2006/relationships/ctrlProp" Target="../ctrlProps/ctrlProp505.xml"/><Relationship Id="rId71" Type="http://schemas.openxmlformats.org/officeDocument/2006/relationships/ctrlProp" Target="../ctrlProps/ctrlProp569.xml"/><Relationship Id="rId92" Type="http://schemas.openxmlformats.org/officeDocument/2006/relationships/ctrlProp" Target="../ctrlProps/ctrlProp590.xml"/><Relationship Id="rId2" Type="http://schemas.openxmlformats.org/officeDocument/2006/relationships/drawing" Target="../drawings/drawing24.xml"/><Relationship Id="rId29" Type="http://schemas.openxmlformats.org/officeDocument/2006/relationships/ctrlProp" Target="../ctrlProps/ctrlProp527.xml"/><Relationship Id="rId24" Type="http://schemas.openxmlformats.org/officeDocument/2006/relationships/ctrlProp" Target="../ctrlProps/ctrlProp522.xml"/><Relationship Id="rId40" Type="http://schemas.openxmlformats.org/officeDocument/2006/relationships/ctrlProp" Target="../ctrlProps/ctrlProp538.xml"/><Relationship Id="rId45" Type="http://schemas.openxmlformats.org/officeDocument/2006/relationships/ctrlProp" Target="../ctrlProps/ctrlProp543.xml"/><Relationship Id="rId66" Type="http://schemas.openxmlformats.org/officeDocument/2006/relationships/ctrlProp" Target="../ctrlProps/ctrlProp564.xml"/><Relationship Id="rId87" Type="http://schemas.openxmlformats.org/officeDocument/2006/relationships/ctrlProp" Target="../ctrlProps/ctrlProp585.xml"/><Relationship Id="rId110" Type="http://schemas.openxmlformats.org/officeDocument/2006/relationships/ctrlProp" Target="../ctrlProps/ctrlProp608.xml"/><Relationship Id="rId115" Type="http://schemas.openxmlformats.org/officeDocument/2006/relationships/ctrlProp" Target="../ctrlProps/ctrlProp613.xml"/><Relationship Id="rId61" Type="http://schemas.openxmlformats.org/officeDocument/2006/relationships/ctrlProp" Target="../ctrlProps/ctrlProp559.xml"/><Relationship Id="rId82" Type="http://schemas.openxmlformats.org/officeDocument/2006/relationships/ctrlProp" Target="../ctrlProps/ctrlProp580.xml"/><Relationship Id="rId19" Type="http://schemas.openxmlformats.org/officeDocument/2006/relationships/ctrlProp" Target="../ctrlProps/ctrlProp517.xml"/><Relationship Id="rId14" Type="http://schemas.openxmlformats.org/officeDocument/2006/relationships/ctrlProp" Target="../ctrlProps/ctrlProp512.xml"/><Relationship Id="rId30" Type="http://schemas.openxmlformats.org/officeDocument/2006/relationships/ctrlProp" Target="../ctrlProps/ctrlProp528.xml"/><Relationship Id="rId35" Type="http://schemas.openxmlformats.org/officeDocument/2006/relationships/ctrlProp" Target="../ctrlProps/ctrlProp533.xml"/><Relationship Id="rId56" Type="http://schemas.openxmlformats.org/officeDocument/2006/relationships/ctrlProp" Target="../ctrlProps/ctrlProp554.xml"/><Relationship Id="rId77" Type="http://schemas.openxmlformats.org/officeDocument/2006/relationships/ctrlProp" Target="../ctrlProps/ctrlProp575.xml"/><Relationship Id="rId100" Type="http://schemas.openxmlformats.org/officeDocument/2006/relationships/ctrlProp" Target="../ctrlProps/ctrlProp598.xml"/><Relationship Id="rId105" Type="http://schemas.openxmlformats.org/officeDocument/2006/relationships/ctrlProp" Target="../ctrlProps/ctrlProp603.xml"/><Relationship Id="rId126" Type="http://schemas.openxmlformats.org/officeDocument/2006/relationships/ctrlProp" Target="../ctrlProps/ctrlProp624.xml"/><Relationship Id="rId8" Type="http://schemas.openxmlformats.org/officeDocument/2006/relationships/ctrlProp" Target="../ctrlProps/ctrlProp506.xml"/><Relationship Id="rId51" Type="http://schemas.openxmlformats.org/officeDocument/2006/relationships/ctrlProp" Target="../ctrlProps/ctrlProp549.xml"/><Relationship Id="rId72" Type="http://schemas.openxmlformats.org/officeDocument/2006/relationships/ctrlProp" Target="../ctrlProps/ctrlProp570.xml"/><Relationship Id="rId93" Type="http://schemas.openxmlformats.org/officeDocument/2006/relationships/ctrlProp" Target="../ctrlProps/ctrlProp591.xml"/><Relationship Id="rId98" Type="http://schemas.openxmlformats.org/officeDocument/2006/relationships/ctrlProp" Target="../ctrlProps/ctrlProp596.xml"/><Relationship Id="rId121" Type="http://schemas.openxmlformats.org/officeDocument/2006/relationships/ctrlProp" Target="../ctrlProps/ctrlProp619.xml"/><Relationship Id="rId3" Type="http://schemas.openxmlformats.org/officeDocument/2006/relationships/vmlDrawing" Target="../drawings/vmlDrawing16.vml"/><Relationship Id="rId25" Type="http://schemas.openxmlformats.org/officeDocument/2006/relationships/ctrlProp" Target="../ctrlProps/ctrlProp523.xml"/><Relationship Id="rId46" Type="http://schemas.openxmlformats.org/officeDocument/2006/relationships/ctrlProp" Target="../ctrlProps/ctrlProp544.xml"/><Relationship Id="rId67" Type="http://schemas.openxmlformats.org/officeDocument/2006/relationships/ctrlProp" Target="../ctrlProps/ctrlProp565.xml"/><Relationship Id="rId116" Type="http://schemas.openxmlformats.org/officeDocument/2006/relationships/ctrlProp" Target="../ctrlProps/ctrlProp614.xml"/><Relationship Id="rId20" Type="http://schemas.openxmlformats.org/officeDocument/2006/relationships/ctrlProp" Target="../ctrlProps/ctrlProp518.xml"/><Relationship Id="rId41" Type="http://schemas.openxmlformats.org/officeDocument/2006/relationships/ctrlProp" Target="../ctrlProps/ctrlProp539.xml"/><Relationship Id="rId62" Type="http://schemas.openxmlformats.org/officeDocument/2006/relationships/ctrlProp" Target="../ctrlProps/ctrlProp560.xml"/><Relationship Id="rId83" Type="http://schemas.openxmlformats.org/officeDocument/2006/relationships/ctrlProp" Target="../ctrlProps/ctrlProp581.xml"/><Relationship Id="rId88" Type="http://schemas.openxmlformats.org/officeDocument/2006/relationships/ctrlProp" Target="../ctrlProps/ctrlProp586.xml"/><Relationship Id="rId111" Type="http://schemas.openxmlformats.org/officeDocument/2006/relationships/ctrlProp" Target="../ctrlProps/ctrlProp609.xml"/><Relationship Id="rId15" Type="http://schemas.openxmlformats.org/officeDocument/2006/relationships/ctrlProp" Target="../ctrlProps/ctrlProp513.xml"/><Relationship Id="rId36" Type="http://schemas.openxmlformats.org/officeDocument/2006/relationships/ctrlProp" Target="../ctrlProps/ctrlProp534.xml"/><Relationship Id="rId57" Type="http://schemas.openxmlformats.org/officeDocument/2006/relationships/ctrlProp" Target="../ctrlProps/ctrlProp555.xml"/><Relationship Id="rId106" Type="http://schemas.openxmlformats.org/officeDocument/2006/relationships/ctrlProp" Target="../ctrlProps/ctrlProp604.xml"/><Relationship Id="rId127" Type="http://schemas.openxmlformats.org/officeDocument/2006/relationships/ctrlProp" Target="../ctrlProps/ctrlProp625.xml"/><Relationship Id="rId10" Type="http://schemas.openxmlformats.org/officeDocument/2006/relationships/ctrlProp" Target="../ctrlProps/ctrlProp508.xml"/><Relationship Id="rId31" Type="http://schemas.openxmlformats.org/officeDocument/2006/relationships/ctrlProp" Target="../ctrlProps/ctrlProp529.xml"/><Relationship Id="rId52" Type="http://schemas.openxmlformats.org/officeDocument/2006/relationships/ctrlProp" Target="../ctrlProps/ctrlProp550.xml"/><Relationship Id="rId73" Type="http://schemas.openxmlformats.org/officeDocument/2006/relationships/ctrlProp" Target="../ctrlProps/ctrlProp571.xml"/><Relationship Id="rId78" Type="http://schemas.openxmlformats.org/officeDocument/2006/relationships/ctrlProp" Target="../ctrlProps/ctrlProp576.xml"/><Relationship Id="rId94" Type="http://schemas.openxmlformats.org/officeDocument/2006/relationships/ctrlProp" Target="../ctrlProps/ctrlProp592.xml"/><Relationship Id="rId99" Type="http://schemas.openxmlformats.org/officeDocument/2006/relationships/ctrlProp" Target="../ctrlProps/ctrlProp597.xml"/><Relationship Id="rId101" Type="http://schemas.openxmlformats.org/officeDocument/2006/relationships/ctrlProp" Target="../ctrlProps/ctrlProp599.xml"/><Relationship Id="rId122" Type="http://schemas.openxmlformats.org/officeDocument/2006/relationships/ctrlProp" Target="../ctrlProps/ctrlProp620.xml"/><Relationship Id="rId4" Type="http://schemas.openxmlformats.org/officeDocument/2006/relationships/ctrlProp" Target="../ctrlProps/ctrlProp502.xml"/><Relationship Id="rId9" Type="http://schemas.openxmlformats.org/officeDocument/2006/relationships/ctrlProp" Target="../ctrlProps/ctrlProp507.xml"/></Relationships>
</file>

<file path=xl/worksheets/_rels/sheet28.xml.rels><?xml version="1.0" encoding="UTF-8" standalone="yes"?>
<Relationships xmlns="http://schemas.openxmlformats.org/package/2006/relationships"><Relationship Id="rId26" Type="http://schemas.openxmlformats.org/officeDocument/2006/relationships/ctrlProp" Target="../ctrlProps/ctrlProp648.xml"/><Relationship Id="rId117" Type="http://schemas.openxmlformats.org/officeDocument/2006/relationships/ctrlProp" Target="../ctrlProps/ctrlProp739.xml"/><Relationship Id="rId21" Type="http://schemas.openxmlformats.org/officeDocument/2006/relationships/ctrlProp" Target="../ctrlProps/ctrlProp643.xml"/><Relationship Id="rId42" Type="http://schemas.openxmlformats.org/officeDocument/2006/relationships/ctrlProp" Target="../ctrlProps/ctrlProp664.xml"/><Relationship Id="rId47" Type="http://schemas.openxmlformats.org/officeDocument/2006/relationships/ctrlProp" Target="../ctrlProps/ctrlProp669.xml"/><Relationship Id="rId63" Type="http://schemas.openxmlformats.org/officeDocument/2006/relationships/ctrlProp" Target="../ctrlProps/ctrlProp685.xml"/><Relationship Id="rId68" Type="http://schemas.openxmlformats.org/officeDocument/2006/relationships/ctrlProp" Target="../ctrlProps/ctrlProp690.xml"/><Relationship Id="rId84" Type="http://schemas.openxmlformats.org/officeDocument/2006/relationships/ctrlProp" Target="../ctrlProps/ctrlProp706.xml"/><Relationship Id="rId89" Type="http://schemas.openxmlformats.org/officeDocument/2006/relationships/ctrlProp" Target="../ctrlProps/ctrlProp711.xml"/><Relationship Id="rId112" Type="http://schemas.openxmlformats.org/officeDocument/2006/relationships/ctrlProp" Target="../ctrlProps/ctrlProp734.xml"/><Relationship Id="rId16" Type="http://schemas.openxmlformats.org/officeDocument/2006/relationships/ctrlProp" Target="../ctrlProps/ctrlProp638.xml"/><Relationship Id="rId107" Type="http://schemas.openxmlformats.org/officeDocument/2006/relationships/ctrlProp" Target="../ctrlProps/ctrlProp729.xml"/><Relationship Id="rId11" Type="http://schemas.openxmlformats.org/officeDocument/2006/relationships/ctrlProp" Target="../ctrlProps/ctrlProp633.xml"/><Relationship Id="rId32" Type="http://schemas.openxmlformats.org/officeDocument/2006/relationships/ctrlProp" Target="../ctrlProps/ctrlProp654.xml"/><Relationship Id="rId37" Type="http://schemas.openxmlformats.org/officeDocument/2006/relationships/ctrlProp" Target="../ctrlProps/ctrlProp659.xml"/><Relationship Id="rId53" Type="http://schemas.openxmlformats.org/officeDocument/2006/relationships/ctrlProp" Target="../ctrlProps/ctrlProp675.xml"/><Relationship Id="rId58" Type="http://schemas.openxmlformats.org/officeDocument/2006/relationships/ctrlProp" Target="../ctrlProps/ctrlProp680.xml"/><Relationship Id="rId74" Type="http://schemas.openxmlformats.org/officeDocument/2006/relationships/ctrlProp" Target="../ctrlProps/ctrlProp696.xml"/><Relationship Id="rId79" Type="http://schemas.openxmlformats.org/officeDocument/2006/relationships/ctrlProp" Target="../ctrlProps/ctrlProp701.xml"/><Relationship Id="rId102" Type="http://schemas.openxmlformats.org/officeDocument/2006/relationships/ctrlProp" Target="../ctrlProps/ctrlProp724.xml"/><Relationship Id="rId123" Type="http://schemas.openxmlformats.org/officeDocument/2006/relationships/ctrlProp" Target="../ctrlProps/ctrlProp745.xml"/><Relationship Id="rId5" Type="http://schemas.openxmlformats.org/officeDocument/2006/relationships/ctrlProp" Target="../ctrlProps/ctrlProp627.xml"/><Relationship Id="rId90" Type="http://schemas.openxmlformats.org/officeDocument/2006/relationships/ctrlProp" Target="../ctrlProps/ctrlProp712.xml"/><Relationship Id="rId95" Type="http://schemas.openxmlformats.org/officeDocument/2006/relationships/ctrlProp" Target="../ctrlProps/ctrlProp717.xml"/><Relationship Id="rId22" Type="http://schemas.openxmlformats.org/officeDocument/2006/relationships/ctrlProp" Target="../ctrlProps/ctrlProp644.xml"/><Relationship Id="rId27" Type="http://schemas.openxmlformats.org/officeDocument/2006/relationships/ctrlProp" Target="../ctrlProps/ctrlProp649.xml"/><Relationship Id="rId43" Type="http://schemas.openxmlformats.org/officeDocument/2006/relationships/ctrlProp" Target="../ctrlProps/ctrlProp665.xml"/><Relationship Id="rId48" Type="http://schemas.openxmlformats.org/officeDocument/2006/relationships/ctrlProp" Target="../ctrlProps/ctrlProp670.xml"/><Relationship Id="rId64" Type="http://schemas.openxmlformats.org/officeDocument/2006/relationships/ctrlProp" Target="../ctrlProps/ctrlProp686.xml"/><Relationship Id="rId69" Type="http://schemas.openxmlformats.org/officeDocument/2006/relationships/ctrlProp" Target="../ctrlProps/ctrlProp691.xml"/><Relationship Id="rId113" Type="http://schemas.openxmlformats.org/officeDocument/2006/relationships/ctrlProp" Target="../ctrlProps/ctrlProp735.xml"/><Relationship Id="rId118" Type="http://schemas.openxmlformats.org/officeDocument/2006/relationships/ctrlProp" Target="../ctrlProps/ctrlProp740.xml"/><Relationship Id="rId80" Type="http://schemas.openxmlformats.org/officeDocument/2006/relationships/ctrlProp" Target="../ctrlProps/ctrlProp702.xml"/><Relationship Id="rId85" Type="http://schemas.openxmlformats.org/officeDocument/2006/relationships/ctrlProp" Target="../ctrlProps/ctrlProp707.xml"/><Relationship Id="rId12" Type="http://schemas.openxmlformats.org/officeDocument/2006/relationships/ctrlProp" Target="../ctrlProps/ctrlProp634.xml"/><Relationship Id="rId17" Type="http://schemas.openxmlformats.org/officeDocument/2006/relationships/ctrlProp" Target="../ctrlProps/ctrlProp639.xml"/><Relationship Id="rId33" Type="http://schemas.openxmlformats.org/officeDocument/2006/relationships/ctrlProp" Target="../ctrlProps/ctrlProp655.xml"/><Relationship Id="rId38" Type="http://schemas.openxmlformats.org/officeDocument/2006/relationships/ctrlProp" Target="../ctrlProps/ctrlProp660.xml"/><Relationship Id="rId59" Type="http://schemas.openxmlformats.org/officeDocument/2006/relationships/ctrlProp" Target="../ctrlProps/ctrlProp681.xml"/><Relationship Id="rId103" Type="http://schemas.openxmlformats.org/officeDocument/2006/relationships/ctrlProp" Target="../ctrlProps/ctrlProp725.xml"/><Relationship Id="rId108" Type="http://schemas.openxmlformats.org/officeDocument/2006/relationships/ctrlProp" Target="../ctrlProps/ctrlProp730.xml"/><Relationship Id="rId124" Type="http://schemas.openxmlformats.org/officeDocument/2006/relationships/ctrlProp" Target="../ctrlProps/ctrlProp746.xml"/><Relationship Id="rId54" Type="http://schemas.openxmlformats.org/officeDocument/2006/relationships/ctrlProp" Target="../ctrlProps/ctrlProp676.xml"/><Relationship Id="rId70" Type="http://schemas.openxmlformats.org/officeDocument/2006/relationships/ctrlProp" Target="../ctrlProps/ctrlProp692.xml"/><Relationship Id="rId75" Type="http://schemas.openxmlformats.org/officeDocument/2006/relationships/ctrlProp" Target="../ctrlProps/ctrlProp697.xml"/><Relationship Id="rId91" Type="http://schemas.openxmlformats.org/officeDocument/2006/relationships/ctrlProp" Target="../ctrlProps/ctrlProp713.xml"/><Relationship Id="rId96" Type="http://schemas.openxmlformats.org/officeDocument/2006/relationships/ctrlProp" Target="../ctrlProps/ctrlProp718.xml"/><Relationship Id="rId1" Type="http://schemas.openxmlformats.org/officeDocument/2006/relationships/printerSettings" Target="../printerSettings/printerSettings28.bin"/><Relationship Id="rId6" Type="http://schemas.openxmlformats.org/officeDocument/2006/relationships/ctrlProp" Target="../ctrlProps/ctrlProp628.xml"/><Relationship Id="rId23" Type="http://schemas.openxmlformats.org/officeDocument/2006/relationships/ctrlProp" Target="../ctrlProps/ctrlProp645.xml"/><Relationship Id="rId28" Type="http://schemas.openxmlformats.org/officeDocument/2006/relationships/ctrlProp" Target="../ctrlProps/ctrlProp650.xml"/><Relationship Id="rId49" Type="http://schemas.openxmlformats.org/officeDocument/2006/relationships/ctrlProp" Target="../ctrlProps/ctrlProp671.xml"/><Relationship Id="rId114" Type="http://schemas.openxmlformats.org/officeDocument/2006/relationships/ctrlProp" Target="../ctrlProps/ctrlProp736.xml"/><Relationship Id="rId119" Type="http://schemas.openxmlformats.org/officeDocument/2006/relationships/ctrlProp" Target="../ctrlProps/ctrlProp741.xml"/><Relationship Id="rId44" Type="http://schemas.openxmlformats.org/officeDocument/2006/relationships/ctrlProp" Target="../ctrlProps/ctrlProp666.xml"/><Relationship Id="rId60" Type="http://schemas.openxmlformats.org/officeDocument/2006/relationships/ctrlProp" Target="../ctrlProps/ctrlProp682.xml"/><Relationship Id="rId65" Type="http://schemas.openxmlformats.org/officeDocument/2006/relationships/ctrlProp" Target="../ctrlProps/ctrlProp687.xml"/><Relationship Id="rId81" Type="http://schemas.openxmlformats.org/officeDocument/2006/relationships/ctrlProp" Target="../ctrlProps/ctrlProp703.xml"/><Relationship Id="rId86" Type="http://schemas.openxmlformats.org/officeDocument/2006/relationships/ctrlProp" Target="../ctrlProps/ctrlProp708.xml"/><Relationship Id="rId13" Type="http://schemas.openxmlformats.org/officeDocument/2006/relationships/ctrlProp" Target="../ctrlProps/ctrlProp635.xml"/><Relationship Id="rId18" Type="http://schemas.openxmlformats.org/officeDocument/2006/relationships/ctrlProp" Target="../ctrlProps/ctrlProp640.xml"/><Relationship Id="rId39" Type="http://schemas.openxmlformats.org/officeDocument/2006/relationships/ctrlProp" Target="../ctrlProps/ctrlProp661.xml"/><Relationship Id="rId109" Type="http://schemas.openxmlformats.org/officeDocument/2006/relationships/ctrlProp" Target="../ctrlProps/ctrlProp731.xml"/><Relationship Id="rId34" Type="http://schemas.openxmlformats.org/officeDocument/2006/relationships/ctrlProp" Target="../ctrlProps/ctrlProp656.xml"/><Relationship Id="rId50" Type="http://schemas.openxmlformats.org/officeDocument/2006/relationships/ctrlProp" Target="../ctrlProps/ctrlProp672.xml"/><Relationship Id="rId55" Type="http://schemas.openxmlformats.org/officeDocument/2006/relationships/ctrlProp" Target="../ctrlProps/ctrlProp677.xml"/><Relationship Id="rId76" Type="http://schemas.openxmlformats.org/officeDocument/2006/relationships/ctrlProp" Target="../ctrlProps/ctrlProp698.xml"/><Relationship Id="rId97" Type="http://schemas.openxmlformats.org/officeDocument/2006/relationships/ctrlProp" Target="../ctrlProps/ctrlProp719.xml"/><Relationship Id="rId104" Type="http://schemas.openxmlformats.org/officeDocument/2006/relationships/ctrlProp" Target="../ctrlProps/ctrlProp726.xml"/><Relationship Id="rId120" Type="http://schemas.openxmlformats.org/officeDocument/2006/relationships/ctrlProp" Target="../ctrlProps/ctrlProp742.xml"/><Relationship Id="rId125" Type="http://schemas.openxmlformats.org/officeDocument/2006/relationships/ctrlProp" Target="../ctrlProps/ctrlProp747.xml"/><Relationship Id="rId7" Type="http://schemas.openxmlformats.org/officeDocument/2006/relationships/ctrlProp" Target="../ctrlProps/ctrlProp629.xml"/><Relationship Id="rId71" Type="http://schemas.openxmlformats.org/officeDocument/2006/relationships/ctrlProp" Target="../ctrlProps/ctrlProp693.xml"/><Relationship Id="rId92" Type="http://schemas.openxmlformats.org/officeDocument/2006/relationships/ctrlProp" Target="../ctrlProps/ctrlProp714.xml"/><Relationship Id="rId2" Type="http://schemas.openxmlformats.org/officeDocument/2006/relationships/drawing" Target="../drawings/drawing25.xml"/><Relationship Id="rId29" Type="http://schemas.openxmlformats.org/officeDocument/2006/relationships/ctrlProp" Target="../ctrlProps/ctrlProp651.xml"/><Relationship Id="rId24" Type="http://schemas.openxmlformats.org/officeDocument/2006/relationships/ctrlProp" Target="../ctrlProps/ctrlProp646.xml"/><Relationship Id="rId40" Type="http://schemas.openxmlformats.org/officeDocument/2006/relationships/ctrlProp" Target="../ctrlProps/ctrlProp662.xml"/><Relationship Id="rId45" Type="http://schemas.openxmlformats.org/officeDocument/2006/relationships/ctrlProp" Target="../ctrlProps/ctrlProp667.xml"/><Relationship Id="rId66" Type="http://schemas.openxmlformats.org/officeDocument/2006/relationships/ctrlProp" Target="../ctrlProps/ctrlProp688.xml"/><Relationship Id="rId87" Type="http://schemas.openxmlformats.org/officeDocument/2006/relationships/ctrlProp" Target="../ctrlProps/ctrlProp709.xml"/><Relationship Id="rId110" Type="http://schemas.openxmlformats.org/officeDocument/2006/relationships/ctrlProp" Target="../ctrlProps/ctrlProp732.xml"/><Relationship Id="rId115" Type="http://schemas.openxmlformats.org/officeDocument/2006/relationships/ctrlProp" Target="../ctrlProps/ctrlProp737.xml"/><Relationship Id="rId61" Type="http://schemas.openxmlformats.org/officeDocument/2006/relationships/ctrlProp" Target="../ctrlProps/ctrlProp683.xml"/><Relationship Id="rId82" Type="http://schemas.openxmlformats.org/officeDocument/2006/relationships/ctrlProp" Target="../ctrlProps/ctrlProp704.xml"/><Relationship Id="rId19" Type="http://schemas.openxmlformats.org/officeDocument/2006/relationships/ctrlProp" Target="../ctrlProps/ctrlProp641.xml"/><Relationship Id="rId14" Type="http://schemas.openxmlformats.org/officeDocument/2006/relationships/ctrlProp" Target="../ctrlProps/ctrlProp636.xml"/><Relationship Id="rId30" Type="http://schemas.openxmlformats.org/officeDocument/2006/relationships/ctrlProp" Target="../ctrlProps/ctrlProp652.xml"/><Relationship Id="rId35" Type="http://schemas.openxmlformats.org/officeDocument/2006/relationships/ctrlProp" Target="../ctrlProps/ctrlProp657.xml"/><Relationship Id="rId56" Type="http://schemas.openxmlformats.org/officeDocument/2006/relationships/ctrlProp" Target="../ctrlProps/ctrlProp678.xml"/><Relationship Id="rId77" Type="http://schemas.openxmlformats.org/officeDocument/2006/relationships/ctrlProp" Target="../ctrlProps/ctrlProp699.xml"/><Relationship Id="rId100" Type="http://schemas.openxmlformats.org/officeDocument/2006/relationships/ctrlProp" Target="../ctrlProps/ctrlProp722.xml"/><Relationship Id="rId105" Type="http://schemas.openxmlformats.org/officeDocument/2006/relationships/ctrlProp" Target="../ctrlProps/ctrlProp727.xml"/><Relationship Id="rId126" Type="http://schemas.openxmlformats.org/officeDocument/2006/relationships/ctrlProp" Target="../ctrlProps/ctrlProp748.xml"/><Relationship Id="rId8" Type="http://schemas.openxmlformats.org/officeDocument/2006/relationships/ctrlProp" Target="../ctrlProps/ctrlProp630.xml"/><Relationship Id="rId51" Type="http://schemas.openxmlformats.org/officeDocument/2006/relationships/ctrlProp" Target="../ctrlProps/ctrlProp673.xml"/><Relationship Id="rId72" Type="http://schemas.openxmlformats.org/officeDocument/2006/relationships/ctrlProp" Target="../ctrlProps/ctrlProp694.xml"/><Relationship Id="rId93" Type="http://schemas.openxmlformats.org/officeDocument/2006/relationships/ctrlProp" Target="../ctrlProps/ctrlProp715.xml"/><Relationship Id="rId98" Type="http://schemas.openxmlformats.org/officeDocument/2006/relationships/ctrlProp" Target="../ctrlProps/ctrlProp720.xml"/><Relationship Id="rId121" Type="http://schemas.openxmlformats.org/officeDocument/2006/relationships/ctrlProp" Target="../ctrlProps/ctrlProp743.xml"/><Relationship Id="rId3" Type="http://schemas.openxmlformats.org/officeDocument/2006/relationships/vmlDrawing" Target="../drawings/vmlDrawing17.vml"/><Relationship Id="rId25" Type="http://schemas.openxmlformats.org/officeDocument/2006/relationships/ctrlProp" Target="../ctrlProps/ctrlProp647.xml"/><Relationship Id="rId46" Type="http://schemas.openxmlformats.org/officeDocument/2006/relationships/ctrlProp" Target="../ctrlProps/ctrlProp668.xml"/><Relationship Id="rId67" Type="http://schemas.openxmlformats.org/officeDocument/2006/relationships/ctrlProp" Target="../ctrlProps/ctrlProp689.xml"/><Relationship Id="rId116" Type="http://schemas.openxmlformats.org/officeDocument/2006/relationships/ctrlProp" Target="../ctrlProps/ctrlProp738.xml"/><Relationship Id="rId20" Type="http://schemas.openxmlformats.org/officeDocument/2006/relationships/ctrlProp" Target="../ctrlProps/ctrlProp642.xml"/><Relationship Id="rId41" Type="http://schemas.openxmlformats.org/officeDocument/2006/relationships/ctrlProp" Target="../ctrlProps/ctrlProp663.xml"/><Relationship Id="rId62" Type="http://schemas.openxmlformats.org/officeDocument/2006/relationships/ctrlProp" Target="../ctrlProps/ctrlProp684.xml"/><Relationship Id="rId83" Type="http://schemas.openxmlformats.org/officeDocument/2006/relationships/ctrlProp" Target="../ctrlProps/ctrlProp705.xml"/><Relationship Id="rId88" Type="http://schemas.openxmlformats.org/officeDocument/2006/relationships/ctrlProp" Target="../ctrlProps/ctrlProp710.xml"/><Relationship Id="rId111" Type="http://schemas.openxmlformats.org/officeDocument/2006/relationships/ctrlProp" Target="../ctrlProps/ctrlProp733.xml"/><Relationship Id="rId15" Type="http://schemas.openxmlformats.org/officeDocument/2006/relationships/ctrlProp" Target="../ctrlProps/ctrlProp637.xml"/><Relationship Id="rId36" Type="http://schemas.openxmlformats.org/officeDocument/2006/relationships/ctrlProp" Target="../ctrlProps/ctrlProp658.xml"/><Relationship Id="rId57" Type="http://schemas.openxmlformats.org/officeDocument/2006/relationships/ctrlProp" Target="../ctrlProps/ctrlProp679.xml"/><Relationship Id="rId106" Type="http://schemas.openxmlformats.org/officeDocument/2006/relationships/ctrlProp" Target="../ctrlProps/ctrlProp728.xml"/><Relationship Id="rId127" Type="http://schemas.openxmlformats.org/officeDocument/2006/relationships/ctrlProp" Target="../ctrlProps/ctrlProp749.xml"/><Relationship Id="rId10" Type="http://schemas.openxmlformats.org/officeDocument/2006/relationships/ctrlProp" Target="../ctrlProps/ctrlProp632.xml"/><Relationship Id="rId31" Type="http://schemas.openxmlformats.org/officeDocument/2006/relationships/ctrlProp" Target="../ctrlProps/ctrlProp653.xml"/><Relationship Id="rId52" Type="http://schemas.openxmlformats.org/officeDocument/2006/relationships/ctrlProp" Target="../ctrlProps/ctrlProp674.xml"/><Relationship Id="rId73" Type="http://schemas.openxmlformats.org/officeDocument/2006/relationships/ctrlProp" Target="../ctrlProps/ctrlProp695.xml"/><Relationship Id="rId78" Type="http://schemas.openxmlformats.org/officeDocument/2006/relationships/ctrlProp" Target="../ctrlProps/ctrlProp700.xml"/><Relationship Id="rId94" Type="http://schemas.openxmlformats.org/officeDocument/2006/relationships/ctrlProp" Target="../ctrlProps/ctrlProp716.xml"/><Relationship Id="rId99" Type="http://schemas.openxmlformats.org/officeDocument/2006/relationships/ctrlProp" Target="../ctrlProps/ctrlProp721.xml"/><Relationship Id="rId101" Type="http://schemas.openxmlformats.org/officeDocument/2006/relationships/ctrlProp" Target="../ctrlProps/ctrlProp723.xml"/><Relationship Id="rId122" Type="http://schemas.openxmlformats.org/officeDocument/2006/relationships/ctrlProp" Target="../ctrlProps/ctrlProp744.xml"/><Relationship Id="rId4" Type="http://schemas.openxmlformats.org/officeDocument/2006/relationships/ctrlProp" Target="../ctrlProps/ctrlProp626.xml"/><Relationship Id="rId9" Type="http://schemas.openxmlformats.org/officeDocument/2006/relationships/ctrlProp" Target="../ctrlProps/ctrlProp631.xml"/></Relationships>
</file>

<file path=xl/worksheets/_rels/sheet29.xml.rels><?xml version="1.0" encoding="UTF-8" standalone="yes"?>
<Relationships xmlns="http://schemas.openxmlformats.org/package/2006/relationships"><Relationship Id="rId26" Type="http://schemas.openxmlformats.org/officeDocument/2006/relationships/ctrlProp" Target="../ctrlProps/ctrlProp772.xml"/><Relationship Id="rId117" Type="http://schemas.openxmlformats.org/officeDocument/2006/relationships/ctrlProp" Target="../ctrlProps/ctrlProp863.xml"/><Relationship Id="rId21" Type="http://schemas.openxmlformats.org/officeDocument/2006/relationships/ctrlProp" Target="../ctrlProps/ctrlProp767.xml"/><Relationship Id="rId42" Type="http://schemas.openxmlformats.org/officeDocument/2006/relationships/ctrlProp" Target="../ctrlProps/ctrlProp788.xml"/><Relationship Id="rId47" Type="http://schemas.openxmlformats.org/officeDocument/2006/relationships/ctrlProp" Target="../ctrlProps/ctrlProp793.xml"/><Relationship Id="rId63" Type="http://schemas.openxmlformats.org/officeDocument/2006/relationships/ctrlProp" Target="../ctrlProps/ctrlProp809.xml"/><Relationship Id="rId68" Type="http://schemas.openxmlformats.org/officeDocument/2006/relationships/ctrlProp" Target="../ctrlProps/ctrlProp814.xml"/><Relationship Id="rId84" Type="http://schemas.openxmlformats.org/officeDocument/2006/relationships/ctrlProp" Target="../ctrlProps/ctrlProp830.xml"/><Relationship Id="rId89" Type="http://schemas.openxmlformats.org/officeDocument/2006/relationships/ctrlProp" Target="../ctrlProps/ctrlProp835.xml"/><Relationship Id="rId112" Type="http://schemas.openxmlformats.org/officeDocument/2006/relationships/ctrlProp" Target="../ctrlProps/ctrlProp858.xml"/><Relationship Id="rId16" Type="http://schemas.openxmlformats.org/officeDocument/2006/relationships/ctrlProp" Target="../ctrlProps/ctrlProp762.xml"/><Relationship Id="rId107" Type="http://schemas.openxmlformats.org/officeDocument/2006/relationships/ctrlProp" Target="../ctrlProps/ctrlProp853.xml"/><Relationship Id="rId11" Type="http://schemas.openxmlformats.org/officeDocument/2006/relationships/ctrlProp" Target="../ctrlProps/ctrlProp757.xml"/><Relationship Id="rId32" Type="http://schemas.openxmlformats.org/officeDocument/2006/relationships/ctrlProp" Target="../ctrlProps/ctrlProp778.xml"/><Relationship Id="rId37" Type="http://schemas.openxmlformats.org/officeDocument/2006/relationships/ctrlProp" Target="../ctrlProps/ctrlProp783.xml"/><Relationship Id="rId53" Type="http://schemas.openxmlformats.org/officeDocument/2006/relationships/ctrlProp" Target="../ctrlProps/ctrlProp799.xml"/><Relationship Id="rId58" Type="http://schemas.openxmlformats.org/officeDocument/2006/relationships/ctrlProp" Target="../ctrlProps/ctrlProp804.xml"/><Relationship Id="rId74" Type="http://schemas.openxmlformats.org/officeDocument/2006/relationships/ctrlProp" Target="../ctrlProps/ctrlProp820.xml"/><Relationship Id="rId79" Type="http://schemas.openxmlformats.org/officeDocument/2006/relationships/ctrlProp" Target="../ctrlProps/ctrlProp825.xml"/><Relationship Id="rId102" Type="http://schemas.openxmlformats.org/officeDocument/2006/relationships/ctrlProp" Target="../ctrlProps/ctrlProp848.xml"/><Relationship Id="rId123" Type="http://schemas.openxmlformats.org/officeDocument/2006/relationships/ctrlProp" Target="../ctrlProps/ctrlProp869.xml"/><Relationship Id="rId5" Type="http://schemas.openxmlformats.org/officeDocument/2006/relationships/ctrlProp" Target="../ctrlProps/ctrlProp751.xml"/><Relationship Id="rId90" Type="http://schemas.openxmlformats.org/officeDocument/2006/relationships/ctrlProp" Target="../ctrlProps/ctrlProp836.xml"/><Relationship Id="rId95" Type="http://schemas.openxmlformats.org/officeDocument/2006/relationships/ctrlProp" Target="../ctrlProps/ctrlProp841.xml"/><Relationship Id="rId22" Type="http://schemas.openxmlformats.org/officeDocument/2006/relationships/ctrlProp" Target="../ctrlProps/ctrlProp768.xml"/><Relationship Id="rId27" Type="http://schemas.openxmlformats.org/officeDocument/2006/relationships/ctrlProp" Target="../ctrlProps/ctrlProp773.xml"/><Relationship Id="rId43" Type="http://schemas.openxmlformats.org/officeDocument/2006/relationships/ctrlProp" Target="../ctrlProps/ctrlProp789.xml"/><Relationship Id="rId48" Type="http://schemas.openxmlformats.org/officeDocument/2006/relationships/ctrlProp" Target="../ctrlProps/ctrlProp794.xml"/><Relationship Id="rId64" Type="http://schemas.openxmlformats.org/officeDocument/2006/relationships/ctrlProp" Target="../ctrlProps/ctrlProp810.xml"/><Relationship Id="rId69" Type="http://schemas.openxmlformats.org/officeDocument/2006/relationships/ctrlProp" Target="../ctrlProps/ctrlProp815.xml"/><Relationship Id="rId113" Type="http://schemas.openxmlformats.org/officeDocument/2006/relationships/ctrlProp" Target="../ctrlProps/ctrlProp859.xml"/><Relationship Id="rId118" Type="http://schemas.openxmlformats.org/officeDocument/2006/relationships/ctrlProp" Target="../ctrlProps/ctrlProp864.xml"/><Relationship Id="rId80" Type="http://schemas.openxmlformats.org/officeDocument/2006/relationships/ctrlProp" Target="../ctrlProps/ctrlProp826.xml"/><Relationship Id="rId85" Type="http://schemas.openxmlformats.org/officeDocument/2006/relationships/ctrlProp" Target="../ctrlProps/ctrlProp831.xml"/><Relationship Id="rId12" Type="http://schemas.openxmlformats.org/officeDocument/2006/relationships/ctrlProp" Target="../ctrlProps/ctrlProp758.xml"/><Relationship Id="rId17" Type="http://schemas.openxmlformats.org/officeDocument/2006/relationships/ctrlProp" Target="../ctrlProps/ctrlProp763.xml"/><Relationship Id="rId33" Type="http://schemas.openxmlformats.org/officeDocument/2006/relationships/ctrlProp" Target="../ctrlProps/ctrlProp779.xml"/><Relationship Id="rId38" Type="http://schemas.openxmlformats.org/officeDocument/2006/relationships/ctrlProp" Target="../ctrlProps/ctrlProp784.xml"/><Relationship Id="rId59" Type="http://schemas.openxmlformats.org/officeDocument/2006/relationships/ctrlProp" Target="../ctrlProps/ctrlProp805.xml"/><Relationship Id="rId103" Type="http://schemas.openxmlformats.org/officeDocument/2006/relationships/ctrlProp" Target="../ctrlProps/ctrlProp849.xml"/><Relationship Id="rId108" Type="http://schemas.openxmlformats.org/officeDocument/2006/relationships/ctrlProp" Target="../ctrlProps/ctrlProp854.xml"/><Relationship Id="rId124" Type="http://schemas.openxmlformats.org/officeDocument/2006/relationships/ctrlProp" Target="../ctrlProps/ctrlProp870.xml"/><Relationship Id="rId54" Type="http://schemas.openxmlformats.org/officeDocument/2006/relationships/ctrlProp" Target="../ctrlProps/ctrlProp800.xml"/><Relationship Id="rId70" Type="http://schemas.openxmlformats.org/officeDocument/2006/relationships/ctrlProp" Target="../ctrlProps/ctrlProp816.xml"/><Relationship Id="rId75" Type="http://schemas.openxmlformats.org/officeDocument/2006/relationships/ctrlProp" Target="../ctrlProps/ctrlProp821.xml"/><Relationship Id="rId91" Type="http://schemas.openxmlformats.org/officeDocument/2006/relationships/ctrlProp" Target="../ctrlProps/ctrlProp837.xml"/><Relationship Id="rId96" Type="http://schemas.openxmlformats.org/officeDocument/2006/relationships/ctrlProp" Target="../ctrlProps/ctrlProp842.xml"/><Relationship Id="rId1" Type="http://schemas.openxmlformats.org/officeDocument/2006/relationships/printerSettings" Target="../printerSettings/printerSettings29.bin"/><Relationship Id="rId6" Type="http://schemas.openxmlformats.org/officeDocument/2006/relationships/ctrlProp" Target="../ctrlProps/ctrlProp752.xml"/><Relationship Id="rId23" Type="http://schemas.openxmlformats.org/officeDocument/2006/relationships/ctrlProp" Target="../ctrlProps/ctrlProp769.xml"/><Relationship Id="rId28" Type="http://schemas.openxmlformats.org/officeDocument/2006/relationships/ctrlProp" Target="../ctrlProps/ctrlProp774.xml"/><Relationship Id="rId49" Type="http://schemas.openxmlformats.org/officeDocument/2006/relationships/ctrlProp" Target="../ctrlProps/ctrlProp795.xml"/><Relationship Id="rId114" Type="http://schemas.openxmlformats.org/officeDocument/2006/relationships/ctrlProp" Target="../ctrlProps/ctrlProp860.xml"/><Relationship Id="rId119" Type="http://schemas.openxmlformats.org/officeDocument/2006/relationships/ctrlProp" Target="../ctrlProps/ctrlProp865.xml"/><Relationship Id="rId44" Type="http://schemas.openxmlformats.org/officeDocument/2006/relationships/ctrlProp" Target="../ctrlProps/ctrlProp790.xml"/><Relationship Id="rId60" Type="http://schemas.openxmlformats.org/officeDocument/2006/relationships/ctrlProp" Target="../ctrlProps/ctrlProp806.xml"/><Relationship Id="rId65" Type="http://schemas.openxmlformats.org/officeDocument/2006/relationships/ctrlProp" Target="../ctrlProps/ctrlProp811.xml"/><Relationship Id="rId81" Type="http://schemas.openxmlformats.org/officeDocument/2006/relationships/ctrlProp" Target="../ctrlProps/ctrlProp827.xml"/><Relationship Id="rId86" Type="http://schemas.openxmlformats.org/officeDocument/2006/relationships/ctrlProp" Target="../ctrlProps/ctrlProp832.xml"/><Relationship Id="rId13" Type="http://schemas.openxmlformats.org/officeDocument/2006/relationships/ctrlProp" Target="../ctrlProps/ctrlProp759.xml"/><Relationship Id="rId18" Type="http://schemas.openxmlformats.org/officeDocument/2006/relationships/ctrlProp" Target="../ctrlProps/ctrlProp764.xml"/><Relationship Id="rId39" Type="http://schemas.openxmlformats.org/officeDocument/2006/relationships/ctrlProp" Target="../ctrlProps/ctrlProp785.xml"/><Relationship Id="rId109" Type="http://schemas.openxmlformats.org/officeDocument/2006/relationships/ctrlProp" Target="../ctrlProps/ctrlProp855.xml"/><Relationship Id="rId34" Type="http://schemas.openxmlformats.org/officeDocument/2006/relationships/ctrlProp" Target="../ctrlProps/ctrlProp780.xml"/><Relationship Id="rId50" Type="http://schemas.openxmlformats.org/officeDocument/2006/relationships/ctrlProp" Target="../ctrlProps/ctrlProp796.xml"/><Relationship Id="rId55" Type="http://schemas.openxmlformats.org/officeDocument/2006/relationships/ctrlProp" Target="../ctrlProps/ctrlProp801.xml"/><Relationship Id="rId76" Type="http://schemas.openxmlformats.org/officeDocument/2006/relationships/ctrlProp" Target="../ctrlProps/ctrlProp822.xml"/><Relationship Id="rId97" Type="http://schemas.openxmlformats.org/officeDocument/2006/relationships/ctrlProp" Target="../ctrlProps/ctrlProp843.xml"/><Relationship Id="rId104" Type="http://schemas.openxmlformats.org/officeDocument/2006/relationships/ctrlProp" Target="../ctrlProps/ctrlProp850.xml"/><Relationship Id="rId120" Type="http://schemas.openxmlformats.org/officeDocument/2006/relationships/ctrlProp" Target="../ctrlProps/ctrlProp866.xml"/><Relationship Id="rId125" Type="http://schemas.openxmlformats.org/officeDocument/2006/relationships/ctrlProp" Target="../ctrlProps/ctrlProp871.xml"/><Relationship Id="rId7" Type="http://schemas.openxmlformats.org/officeDocument/2006/relationships/ctrlProp" Target="../ctrlProps/ctrlProp753.xml"/><Relationship Id="rId71" Type="http://schemas.openxmlformats.org/officeDocument/2006/relationships/ctrlProp" Target="../ctrlProps/ctrlProp817.xml"/><Relationship Id="rId92" Type="http://schemas.openxmlformats.org/officeDocument/2006/relationships/ctrlProp" Target="../ctrlProps/ctrlProp838.xml"/><Relationship Id="rId2" Type="http://schemas.openxmlformats.org/officeDocument/2006/relationships/drawing" Target="../drawings/drawing26.xml"/><Relationship Id="rId29" Type="http://schemas.openxmlformats.org/officeDocument/2006/relationships/ctrlProp" Target="../ctrlProps/ctrlProp775.xml"/><Relationship Id="rId24" Type="http://schemas.openxmlformats.org/officeDocument/2006/relationships/ctrlProp" Target="../ctrlProps/ctrlProp770.xml"/><Relationship Id="rId40" Type="http://schemas.openxmlformats.org/officeDocument/2006/relationships/ctrlProp" Target="../ctrlProps/ctrlProp786.xml"/><Relationship Id="rId45" Type="http://schemas.openxmlformats.org/officeDocument/2006/relationships/ctrlProp" Target="../ctrlProps/ctrlProp791.xml"/><Relationship Id="rId66" Type="http://schemas.openxmlformats.org/officeDocument/2006/relationships/ctrlProp" Target="../ctrlProps/ctrlProp812.xml"/><Relationship Id="rId87" Type="http://schemas.openxmlformats.org/officeDocument/2006/relationships/ctrlProp" Target="../ctrlProps/ctrlProp833.xml"/><Relationship Id="rId110" Type="http://schemas.openxmlformats.org/officeDocument/2006/relationships/ctrlProp" Target="../ctrlProps/ctrlProp856.xml"/><Relationship Id="rId115" Type="http://schemas.openxmlformats.org/officeDocument/2006/relationships/ctrlProp" Target="../ctrlProps/ctrlProp861.xml"/><Relationship Id="rId61" Type="http://schemas.openxmlformats.org/officeDocument/2006/relationships/ctrlProp" Target="../ctrlProps/ctrlProp807.xml"/><Relationship Id="rId82" Type="http://schemas.openxmlformats.org/officeDocument/2006/relationships/ctrlProp" Target="../ctrlProps/ctrlProp828.xml"/><Relationship Id="rId19" Type="http://schemas.openxmlformats.org/officeDocument/2006/relationships/ctrlProp" Target="../ctrlProps/ctrlProp765.xml"/><Relationship Id="rId14" Type="http://schemas.openxmlformats.org/officeDocument/2006/relationships/ctrlProp" Target="../ctrlProps/ctrlProp760.xml"/><Relationship Id="rId30" Type="http://schemas.openxmlformats.org/officeDocument/2006/relationships/ctrlProp" Target="../ctrlProps/ctrlProp776.xml"/><Relationship Id="rId35" Type="http://schemas.openxmlformats.org/officeDocument/2006/relationships/ctrlProp" Target="../ctrlProps/ctrlProp781.xml"/><Relationship Id="rId56" Type="http://schemas.openxmlformats.org/officeDocument/2006/relationships/ctrlProp" Target="../ctrlProps/ctrlProp802.xml"/><Relationship Id="rId77" Type="http://schemas.openxmlformats.org/officeDocument/2006/relationships/ctrlProp" Target="../ctrlProps/ctrlProp823.xml"/><Relationship Id="rId100" Type="http://schemas.openxmlformats.org/officeDocument/2006/relationships/ctrlProp" Target="../ctrlProps/ctrlProp846.xml"/><Relationship Id="rId105" Type="http://schemas.openxmlformats.org/officeDocument/2006/relationships/ctrlProp" Target="../ctrlProps/ctrlProp851.xml"/><Relationship Id="rId126" Type="http://schemas.openxmlformats.org/officeDocument/2006/relationships/ctrlProp" Target="../ctrlProps/ctrlProp872.xml"/><Relationship Id="rId8" Type="http://schemas.openxmlformats.org/officeDocument/2006/relationships/ctrlProp" Target="../ctrlProps/ctrlProp754.xml"/><Relationship Id="rId51" Type="http://schemas.openxmlformats.org/officeDocument/2006/relationships/ctrlProp" Target="../ctrlProps/ctrlProp797.xml"/><Relationship Id="rId72" Type="http://schemas.openxmlformats.org/officeDocument/2006/relationships/ctrlProp" Target="../ctrlProps/ctrlProp818.xml"/><Relationship Id="rId93" Type="http://schemas.openxmlformats.org/officeDocument/2006/relationships/ctrlProp" Target="../ctrlProps/ctrlProp839.xml"/><Relationship Id="rId98" Type="http://schemas.openxmlformats.org/officeDocument/2006/relationships/ctrlProp" Target="../ctrlProps/ctrlProp844.xml"/><Relationship Id="rId121" Type="http://schemas.openxmlformats.org/officeDocument/2006/relationships/ctrlProp" Target="../ctrlProps/ctrlProp867.xml"/><Relationship Id="rId3" Type="http://schemas.openxmlformats.org/officeDocument/2006/relationships/vmlDrawing" Target="../drawings/vmlDrawing18.vml"/><Relationship Id="rId25" Type="http://schemas.openxmlformats.org/officeDocument/2006/relationships/ctrlProp" Target="../ctrlProps/ctrlProp771.xml"/><Relationship Id="rId46" Type="http://schemas.openxmlformats.org/officeDocument/2006/relationships/ctrlProp" Target="../ctrlProps/ctrlProp792.xml"/><Relationship Id="rId67" Type="http://schemas.openxmlformats.org/officeDocument/2006/relationships/ctrlProp" Target="../ctrlProps/ctrlProp813.xml"/><Relationship Id="rId116" Type="http://schemas.openxmlformats.org/officeDocument/2006/relationships/ctrlProp" Target="../ctrlProps/ctrlProp862.xml"/><Relationship Id="rId20" Type="http://schemas.openxmlformats.org/officeDocument/2006/relationships/ctrlProp" Target="../ctrlProps/ctrlProp766.xml"/><Relationship Id="rId41" Type="http://schemas.openxmlformats.org/officeDocument/2006/relationships/ctrlProp" Target="../ctrlProps/ctrlProp787.xml"/><Relationship Id="rId62" Type="http://schemas.openxmlformats.org/officeDocument/2006/relationships/ctrlProp" Target="../ctrlProps/ctrlProp808.xml"/><Relationship Id="rId83" Type="http://schemas.openxmlformats.org/officeDocument/2006/relationships/ctrlProp" Target="../ctrlProps/ctrlProp829.xml"/><Relationship Id="rId88" Type="http://schemas.openxmlformats.org/officeDocument/2006/relationships/ctrlProp" Target="../ctrlProps/ctrlProp834.xml"/><Relationship Id="rId111" Type="http://schemas.openxmlformats.org/officeDocument/2006/relationships/ctrlProp" Target="../ctrlProps/ctrlProp857.xml"/><Relationship Id="rId15" Type="http://schemas.openxmlformats.org/officeDocument/2006/relationships/ctrlProp" Target="../ctrlProps/ctrlProp761.xml"/><Relationship Id="rId36" Type="http://schemas.openxmlformats.org/officeDocument/2006/relationships/ctrlProp" Target="../ctrlProps/ctrlProp782.xml"/><Relationship Id="rId57" Type="http://schemas.openxmlformats.org/officeDocument/2006/relationships/ctrlProp" Target="../ctrlProps/ctrlProp803.xml"/><Relationship Id="rId106" Type="http://schemas.openxmlformats.org/officeDocument/2006/relationships/ctrlProp" Target="../ctrlProps/ctrlProp852.xml"/><Relationship Id="rId127" Type="http://schemas.openxmlformats.org/officeDocument/2006/relationships/ctrlProp" Target="../ctrlProps/ctrlProp873.xml"/><Relationship Id="rId10" Type="http://schemas.openxmlformats.org/officeDocument/2006/relationships/ctrlProp" Target="../ctrlProps/ctrlProp756.xml"/><Relationship Id="rId31" Type="http://schemas.openxmlformats.org/officeDocument/2006/relationships/ctrlProp" Target="../ctrlProps/ctrlProp777.xml"/><Relationship Id="rId52" Type="http://schemas.openxmlformats.org/officeDocument/2006/relationships/ctrlProp" Target="../ctrlProps/ctrlProp798.xml"/><Relationship Id="rId73" Type="http://schemas.openxmlformats.org/officeDocument/2006/relationships/ctrlProp" Target="../ctrlProps/ctrlProp819.xml"/><Relationship Id="rId78" Type="http://schemas.openxmlformats.org/officeDocument/2006/relationships/ctrlProp" Target="../ctrlProps/ctrlProp824.xml"/><Relationship Id="rId94" Type="http://schemas.openxmlformats.org/officeDocument/2006/relationships/ctrlProp" Target="../ctrlProps/ctrlProp840.xml"/><Relationship Id="rId99" Type="http://schemas.openxmlformats.org/officeDocument/2006/relationships/ctrlProp" Target="../ctrlProps/ctrlProp845.xml"/><Relationship Id="rId101" Type="http://schemas.openxmlformats.org/officeDocument/2006/relationships/ctrlProp" Target="../ctrlProps/ctrlProp847.xml"/><Relationship Id="rId122" Type="http://schemas.openxmlformats.org/officeDocument/2006/relationships/ctrlProp" Target="../ctrlProps/ctrlProp868.xml"/><Relationship Id="rId4" Type="http://schemas.openxmlformats.org/officeDocument/2006/relationships/ctrlProp" Target="../ctrlProps/ctrlProp750.xml"/><Relationship Id="rId9" Type="http://schemas.openxmlformats.org/officeDocument/2006/relationships/ctrlProp" Target="../ctrlProps/ctrlProp75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17" Type="http://schemas.openxmlformats.org/officeDocument/2006/relationships/ctrlProp" Target="../ctrlProps/ctrlProp987.xml"/><Relationship Id="rId21" Type="http://schemas.openxmlformats.org/officeDocument/2006/relationships/ctrlProp" Target="../ctrlProps/ctrlProp891.xml"/><Relationship Id="rId42" Type="http://schemas.openxmlformats.org/officeDocument/2006/relationships/ctrlProp" Target="../ctrlProps/ctrlProp912.xml"/><Relationship Id="rId63" Type="http://schemas.openxmlformats.org/officeDocument/2006/relationships/ctrlProp" Target="../ctrlProps/ctrlProp933.xml"/><Relationship Id="rId84" Type="http://schemas.openxmlformats.org/officeDocument/2006/relationships/ctrlProp" Target="../ctrlProps/ctrlProp954.xml"/><Relationship Id="rId138" Type="http://schemas.openxmlformats.org/officeDocument/2006/relationships/ctrlProp" Target="../ctrlProps/ctrlProp1008.xml"/><Relationship Id="rId159" Type="http://schemas.openxmlformats.org/officeDocument/2006/relationships/ctrlProp" Target="../ctrlProps/ctrlProp1029.xml"/><Relationship Id="rId170" Type="http://schemas.openxmlformats.org/officeDocument/2006/relationships/ctrlProp" Target="../ctrlProps/ctrlProp1040.xml"/><Relationship Id="rId191" Type="http://schemas.openxmlformats.org/officeDocument/2006/relationships/ctrlProp" Target="../ctrlProps/ctrlProp1061.xml"/><Relationship Id="rId205" Type="http://schemas.openxmlformats.org/officeDocument/2006/relationships/ctrlProp" Target="../ctrlProps/ctrlProp1075.xml"/><Relationship Id="rId226" Type="http://schemas.openxmlformats.org/officeDocument/2006/relationships/ctrlProp" Target="../ctrlProps/ctrlProp1096.xml"/><Relationship Id="rId107" Type="http://schemas.openxmlformats.org/officeDocument/2006/relationships/ctrlProp" Target="../ctrlProps/ctrlProp977.xml"/><Relationship Id="rId11" Type="http://schemas.openxmlformats.org/officeDocument/2006/relationships/ctrlProp" Target="../ctrlProps/ctrlProp881.xml"/><Relationship Id="rId32" Type="http://schemas.openxmlformats.org/officeDocument/2006/relationships/ctrlProp" Target="../ctrlProps/ctrlProp902.xml"/><Relationship Id="rId53" Type="http://schemas.openxmlformats.org/officeDocument/2006/relationships/ctrlProp" Target="../ctrlProps/ctrlProp923.xml"/><Relationship Id="rId74" Type="http://schemas.openxmlformats.org/officeDocument/2006/relationships/ctrlProp" Target="../ctrlProps/ctrlProp944.xml"/><Relationship Id="rId128" Type="http://schemas.openxmlformats.org/officeDocument/2006/relationships/ctrlProp" Target="../ctrlProps/ctrlProp998.xml"/><Relationship Id="rId149" Type="http://schemas.openxmlformats.org/officeDocument/2006/relationships/ctrlProp" Target="../ctrlProps/ctrlProp1019.xml"/><Relationship Id="rId5" Type="http://schemas.openxmlformats.org/officeDocument/2006/relationships/ctrlProp" Target="../ctrlProps/ctrlProp875.xml"/><Relationship Id="rId95" Type="http://schemas.openxmlformats.org/officeDocument/2006/relationships/ctrlProp" Target="../ctrlProps/ctrlProp965.xml"/><Relationship Id="rId160" Type="http://schemas.openxmlformats.org/officeDocument/2006/relationships/ctrlProp" Target="../ctrlProps/ctrlProp1030.xml"/><Relationship Id="rId181" Type="http://schemas.openxmlformats.org/officeDocument/2006/relationships/ctrlProp" Target="../ctrlProps/ctrlProp1051.xml"/><Relationship Id="rId216" Type="http://schemas.openxmlformats.org/officeDocument/2006/relationships/ctrlProp" Target="../ctrlProps/ctrlProp1086.xml"/><Relationship Id="rId22" Type="http://schemas.openxmlformats.org/officeDocument/2006/relationships/ctrlProp" Target="../ctrlProps/ctrlProp892.xml"/><Relationship Id="rId43" Type="http://schemas.openxmlformats.org/officeDocument/2006/relationships/ctrlProp" Target="../ctrlProps/ctrlProp913.xml"/><Relationship Id="rId64" Type="http://schemas.openxmlformats.org/officeDocument/2006/relationships/ctrlProp" Target="../ctrlProps/ctrlProp934.xml"/><Relationship Id="rId118" Type="http://schemas.openxmlformats.org/officeDocument/2006/relationships/ctrlProp" Target="../ctrlProps/ctrlProp988.xml"/><Relationship Id="rId139" Type="http://schemas.openxmlformats.org/officeDocument/2006/relationships/ctrlProp" Target="../ctrlProps/ctrlProp1009.xml"/><Relationship Id="rId85" Type="http://schemas.openxmlformats.org/officeDocument/2006/relationships/ctrlProp" Target="../ctrlProps/ctrlProp955.xml"/><Relationship Id="rId150" Type="http://schemas.openxmlformats.org/officeDocument/2006/relationships/ctrlProp" Target="../ctrlProps/ctrlProp1020.xml"/><Relationship Id="rId171" Type="http://schemas.openxmlformats.org/officeDocument/2006/relationships/ctrlProp" Target="../ctrlProps/ctrlProp1041.xml"/><Relationship Id="rId192" Type="http://schemas.openxmlformats.org/officeDocument/2006/relationships/ctrlProp" Target="../ctrlProps/ctrlProp1062.xml"/><Relationship Id="rId206" Type="http://schemas.openxmlformats.org/officeDocument/2006/relationships/ctrlProp" Target="../ctrlProps/ctrlProp1076.xml"/><Relationship Id="rId227" Type="http://schemas.openxmlformats.org/officeDocument/2006/relationships/ctrlProp" Target="../ctrlProps/ctrlProp1097.xml"/><Relationship Id="rId12" Type="http://schemas.openxmlformats.org/officeDocument/2006/relationships/ctrlProp" Target="../ctrlProps/ctrlProp882.xml"/><Relationship Id="rId33" Type="http://schemas.openxmlformats.org/officeDocument/2006/relationships/ctrlProp" Target="../ctrlProps/ctrlProp903.xml"/><Relationship Id="rId108" Type="http://schemas.openxmlformats.org/officeDocument/2006/relationships/ctrlProp" Target="../ctrlProps/ctrlProp978.xml"/><Relationship Id="rId129" Type="http://schemas.openxmlformats.org/officeDocument/2006/relationships/ctrlProp" Target="../ctrlProps/ctrlProp999.xml"/><Relationship Id="rId54" Type="http://schemas.openxmlformats.org/officeDocument/2006/relationships/ctrlProp" Target="../ctrlProps/ctrlProp924.xml"/><Relationship Id="rId75" Type="http://schemas.openxmlformats.org/officeDocument/2006/relationships/ctrlProp" Target="../ctrlProps/ctrlProp945.xml"/><Relationship Id="rId96" Type="http://schemas.openxmlformats.org/officeDocument/2006/relationships/ctrlProp" Target="../ctrlProps/ctrlProp966.xml"/><Relationship Id="rId140" Type="http://schemas.openxmlformats.org/officeDocument/2006/relationships/ctrlProp" Target="../ctrlProps/ctrlProp1010.xml"/><Relationship Id="rId161" Type="http://schemas.openxmlformats.org/officeDocument/2006/relationships/ctrlProp" Target="../ctrlProps/ctrlProp1031.xml"/><Relationship Id="rId182" Type="http://schemas.openxmlformats.org/officeDocument/2006/relationships/ctrlProp" Target="../ctrlProps/ctrlProp1052.xml"/><Relationship Id="rId217" Type="http://schemas.openxmlformats.org/officeDocument/2006/relationships/ctrlProp" Target="../ctrlProps/ctrlProp1087.xml"/><Relationship Id="rId6" Type="http://schemas.openxmlformats.org/officeDocument/2006/relationships/ctrlProp" Target="../ctrlProps/ctrlProp876.xml"/><Relationship Id="rId23" Type="http://schemas.openxmlformats.org/officeDocument/2006/relationships/ctrlProp" Target="../ctrlProps/ctrlProp893.xml"/><Relationship Id="rId119" Type="http://schemas.openxmlformats.org/officeDocument/2006/relationships/ctrlProp" Target="../ctrlProps/ctrlProp989.xml"/><Relationship Id="rId44" Type="http://schemas.openxmlformats.org/officeDocument/2006/relationships/ctrlProp" Target="../ctrlProps/ctrlProp914.xml"/><Relationship Id="rId65" Type="http://schemas.openxmlformats.org/officeDocument/2006/relationships/ctrlProp" Target="../ctrlProps/ctrlProp935.xml"/><Relationship Id="rId86" Type="http://schemas.openxmlformats.org/officeDocument/2006/relationships/ctrlProp" Target="../ctrlProps/ctrlProp956.xml"/><Relationship Id="rId130" Type="http://schemas.openxmlformats.org/officeDocument/2006/relationships/ctrlProp" Target="../ctrlProps/ctrlProp1000.xml"/><Relationship Id="rId151" Type="http://schemas.openxmlformats.org/officeDocument/2006/relationships/ctrlProp" Target="../ctrlProps/ctrlProp1021.xml"/><Relationship Id="rId172" Type="http://schemas.openxmlformats.org/officeDocument/2006/relationships/ctrlProp" Target="../ctrlProps/ctrlProp1042.xml"/><Relationship Id="rId193" Type="http://schemas.openxmlformats.org/officeDocument/2006/relationships/ctrlProp" Target="../ctrlProps/ctrlProp1063.xml"/><Relationship Id="rId207" Type="http://schemas.openxmlformats.org/officeDocument/2006/relationships/ctrlProp" Target="../ctrlProps/ctrlProp1077.xml"/><Relationship Id="rId228" Type="http://schemas.openxmlformats.org/officeDocument/2006/relationships/ctrlProp" Target="../ctrlProps/ctrlProp1098.xml"/><Relationship Id="rId13" Type="http://schemas.openxmlformats.org/officeDocument/2006/relationships/ctrlProp" Target="../ctrlProps/ctrlProp883.xml"/><Relationship Id="rId109" Type="http://schemas.openxmlformats.org/officeDocument/2006/relationships/ctrlProp" Target="../ctrlProps/ctrlProp979.xml"/><Relationship Id="rId34" Type="http://schemas.openxmlformats.org/officeDocument/2006/relationships/ctrlProp" Target="../ctrlProps/ctrlProp904.xml"/><Relationship Id="rId55" Type="http://schemas.openxmlformats.org/officeDocument/2006/relationships/ctrlProp" Target="../ctrlProps/ctrlProp925.xml"/><Relationship Id="rId76" Type="http://schemas.openxmlformats.org/officeDocument/2006/relationships/ctrlProp" Target="../ctrlProps/ctrlProp946.xml"/><Relationship Id="rId97" Type="http://schemas.openxmlformats.org/officeDocument/2006/relationships/ctrlProp" Target="../ctrlProps/ctrlProp967.xml"/><Relationship Id="rId120" Type="http://schemas.openxmlformats.org/officeDocument/2006/relationships/ctrlProp" Target="../ctrlProps/ctrlProp990.xml"/><Relationship Id="rId141" Type="http://schemas.openxmlformats.org/officeDocument/2006/relationships/ctrlProp" Target="../ctrlProps/ctrlProp1011.xml"/><Relationship Id="rId7" Type="http://schemas.openxmlformats.org/officeDocument/2006/relationships/ctrlProp" Target="../ctrlProps/ctrlProp877.xml"/><Relationship Id="rId162" Type="http://schemas.openxmlformats.org/officeDocument/2006/relationships/ctrlProp" Target="../ctrlProps/ctrlProp1032.xml"/><Relationship Id="rId183" Type="http://schemas.openxmlformats.org/officeDocument/2006/relationships/ctrlProp" Target="../ctrlProps/ctrlProp1053.xml"/><Relationship Id="rId218" Type="http://schemas.openxmlformats.org/officeDocument/2006/relationships/ctrlProp" Target="../ctrlProps/ctrlProp1088.xml"/><Relationship Id="rId24" Type="http://schemas.openxmlformats.org/officeDocument/2006/relationships/ctrlProp" Target="../ctrlProps/ctrlProp894.xml"/><Relationship Id="rId45" Type="http://schemas.openxmlformats.org/officeDocument/2006/relationships/ctrlProp" Target="../ctrlProps/ctrlProp915.xml"/><Relationship Id="rId66" Type="http://schemas.openxmlformats.org/officeDocument/2006/relationships/ctrlProp" Target="../ctrlProps/ctrlProp936.xml"/><Relationship Id="rId87" Type="http://schemas.openxmlformats.org/officeDocument/2006/relationships/ctrlProp" Target="../ctrlProps/ctrlProp957.xml"/><Relationship Id="rId110" Type="http://schemas.openxmlformats.org/officeDocument/2006/relationships/ctrlProp" Target="../ctrlProps/ctrlProp980.xml"/><Relationship Id="rId131" Type="http://schemas.openxmlformats.org/officeDocument/2006/relationships/ctrlProp" Target="../ctrlProps/ctrlProp1001.xml"/><Relationship Id="rId152" Type="http://schemas.openxmlformats.org/officeDocument/2006/relationships/ctrlProp" Target="../ctrlProps/ctrlProp1022.xml"/><Relationship Id="rId173" Type="http://schemas.openxmlformats.org/officeDocument/2006/relationships/ctrlProp" Target="../ctrlProps/ctrlProp1043.xml"/><Relationship Id="rId194" Type="http://schemas.openxmlformats.org/officeDocument/2006/relationships/ctrlProp" Target="../ctrlProps/ctrlProp1064.xml"/><Relationship Id="rId208" Type="http://schemas.openxmlformats.org/officeDocument/2006/relationships/ctrlProp" Target="../ctrlProps/ctrlProp1078.xml"/><Relationship Id="rId14" Type="http://schemas.openxmlformats.org/officeDocument/2006/relationships/ctrlProp" Target="../ctrlProps/ctrlProp884.xml"/><Relationship Id="rId35" Type="http://schemas.openxmlformats.org/officeDocument/2006/relationships/ctrlProp" Target="../ctrlProps/ctrlProp905.xml"/><Relationship Id="rId56" Type="http://schemas.openxmlformats.org/officeDocument/2006/relationships/ctrlProp" Target="../ctrlProps/ctrlProp926.xml"/><Relationship Id="rId77" Type="http://schemas.openxmlformats.org/officeDocument/2006/relationships/ctrlProp" Target="../ctrlProps/ctrlProp947.xml"/><Relationship Id="rId100" Type="http://schemas.openxmlformats.org/officeDocument/2006/relationships/ctrlProp" Target="../ctrlProps/ctrlProp970.xml"/><Relationship Id="rId8" Type="http://schemas.openxmlformats.org/officeDocument/2006/relationships/ctrlProp" Target="../ctrlProps/ctrlProp878.xml"/><Relationship Id="rId98" Type="http://schemas.openxmlformats.org/officeDocument/2006/relationships/ctrlProp" Target="../ctrlProps/ctrlProp968.xml"/><Relationship Id="rId121" Type="http://schemas.openxmlformats.org/officeDocument/2006/relationships/ctrlProp" Target="../ctrlProps/ctrlProp991.xml"/><Relationship Id="rId142" Type="http://schemas.openxmlformats.org/officeDocument/2006/relationships/ctrlProp" Target="../ctrlProps/ctrlProp1012.xml"/><Relationship Id="rId163" Type="http://schemas.openxmlformats.org/officeDocument/2006/relationships/ctrlProp" Target="../ctrlProps/ctrlProp1033.xml"/><Relationship Id="rId184" Type="http://schemas.openxmlformats.org/officeDocument/2006/relationships/ctrlProp" Target="../ctrlProps/ctrlProp1054.xml"/><Relationship Id="rId219" Type="http://schemas.openxmlformats.org/officeDocument/2006/relationships/ctrlProp" Target="../ctrlProps/ctrlProp1089.xml"/><Relationship Id="rId3" Type="http://schemas.openxmlformats.org/officeDocument/2006/relationships/vmlDrawing" Target="../drawings/vmlDrawing19.vml"/><Relationship Id="rId214" Type="http://schemas.openxmlformats.org/officeDocument/2006/relationships/ctrlProp" Target="../ctrlProps/ctrlProp1084.xml"/><Relationship Id="rId25" Type="http://schemas.openxmlformats.org/officeDocument/2006/relationships/ctrlProp" Target="../ctrlProps/ctrlProp895.xml"/><Relationship Id="rId46" Type="http://schemas.openxmlformats.org/officeDocument/2006/relationships/ctrlProp" Target="../ctrlProps/ctrlProp916.xml"/><Relationship Id="rId67" Type="http://schemas.openxmlformats.org/officeDocument/2006/relationships/ctrlProp" Target="../ctrlProps/ctrlProp937.xml"/><Relationship Id="rId116" Type="http://schemas.openxmlformats.org/officeDocument/2006/relationships/ctrlProp" Target="../ctrlProps/ctrlProp986.xml"/><Relationship Id="rId137" Type="http://schemas.openxmlformats.org/officeDocument/2006/relationships/ctrlProp" Target="../ctrlProps/ctrlProp1007.xml"/><Relationship Id="rId158" Type="http://schemas.openxmlformats.org/officeDocument/2006/relationships/ctrlProp" Target="../ctrlProps/ctrlProp1028.xml"/><Relationship Id="rId20" Type="http://schemas.openxmlformats.org/officeDocument/2006/relationships/ctrlProp" Target="../ctrlProps/ctrlProp890.xml"/><Relationship Id="rId41" Type="http://schemas.openxmlformats.org/officeDocument/2006/relationships/ctrlProp" Target="../ctrlProps/ctrlProp911.xml"/><Relationship Id="rId62" Type="http://schemas.openxmlformats.org/officeDocument/2006/relationships/ctrlProp" Target="../ctrlProps/ctrlProp932.xml"/><Relationship Id="rId83" Type="http://schemas.openxmlformats.org/officeDocument/2006/relationships/ctrlProp" Target="../ctrlProps/ctrlProp953.xml"/><Relationship Id="rId88" Type="http://schemas.openxmlformats.org/officeDocument/2006/relationships/ctrlProp" Target="../ctrlProps/ctrlProp958.xml"/><Relationship Id="rId111" Type="http://schemas.openxmlformats.org/officeDocument/2006/relationships/ctrlProp" Target="../ctrlProps/ctrlProp981.xml"/><Relationship Id="rId132" Type="http://schemas.openxmlformats.org/officeDocument/2006/relationships/ctrlProp" Target="../ctrlProps/ctrlProp1002.xml"/><Relationship Id="rId153" Type="http://schemas.openxmlformats.org/officeDocument/2006/relationships/ctrlProp" Target="../ctrlProps/ctrlProp1023.xml"/><Relationship Id="rId174" Type="http://schemas.openxmlformats.org/officeDocument/2006/relationships/ctrlProp" Target="../ctrlProps/ctrlProp1044.xml"/><Relationship Id="rId179" Type="http://schemas.openxmlformats.org/officeDocument/2006/relationships/ctrlProp" Target="../ctrlProps/ctrlProp1049.xml"/><Relationship Id="rId195" Type="http://schemas.openxmlformats.org/officeDocument/2006/relationships/ctrlProp" Target="../ctrlProps/ctrlProp1065.xml"/><Relationship Id="rId209" Type="http://schemas.openxmlformats.org/officeDocument/2006/relationships/ctrlProp" Target="../ctrlProps/ctrlProp1079.xml"/><Relationship Id="rId190" Type="http://schemas.openxmlformats.org/officeDocument/2006/relationships/ctrlProp" Target="../ctrlProps/ctrlProp1060.xml"/><Relationship Id="rId204" Type="http://schemas.openxmlformats.org/officeDocument/2006/relationships/ctrlProp" Target="../ctrlProps/ctrlProp1074.xml"/><Relationship Id="rId220" Type="http://schemas.openxmlformats.org/officeDocument/2006/relationships/ctrlProp" Target="../ctrlProps/ctrlProp1090.xml"/><Relationship Id="rId225" Type="http://schemas.openxmlformats.org/officeDocument/2006/relationships/ctrlProp" Target="../ctrlProps/ctrlProp1095.xml"/><Relationship Id="rId15" Type="http://schemas.openxmlformats.org/officeDocument/2006/relationships/ctrlProp" Target="../ctrlProps/ctrlProp885.xml"/><Relationship Id="rId36" Type="http://schemas.openxmlformats.org/officeDocument/2006/relationships/ctrlProp" Target="../ctrlProps/ctrlProp906.xml"/><Relationship Id="rId57" Type="http://schemas.openxmlformats.org/officeDocument/2006/relationships/ctrlProp" Target="../ctrlProps/ctrlProp927.xml"/><Relationship Id="rId106" Type="http://schemas.openxmlformats.org/officeDocument/2006/relationships/ctrlProp" Target="../ctrlProps/ctrlProp976.xml"/><Relationship Id="rId127" Type="http://schemas.openxmlformats.org/officeDocument/2006/relationships/ctrlProp" Target="../ctrlProps/ctrlProp997.xml"/><Relationship Id="rId10" Type="http://schemas.openxmlformats.org/officeDocument/2006/relationships/ctrlProp" Target="../ctrlProps/ctrlProp880.xml"/><Relationship Id="rId31" Type="http://schemas.openxmlformats.org/officeDocument/2006/relationships/ctrlProp" Target="../ctrlProps/ctrlProp901.xml"/><Relationship Id="rId52" Type="http://schemas.openxmlformats.org/officeDocument/2006/relationships/ctrlProp" Target="../ctrlProps/ctrlProp922.xml"/><Relationship Id="rId73" Type="http://schemas.openxmlformats.org/officeDocument/2006/relationships/ctrlProp" Target="../ctrlProps/ctrlProp943.xml"/><Relationship Id="rId78" Type="http://schemas.openxmlformats.org/officeDocument/2006/relationships/ctrlProp" Target="../ctrlProps/ctrlProp948.xml"/><Relationship Id="rId94" Type="http://schemas.openxmlformats.org/officeDocument/2006/relationships/ctrlProp" Target="../ctrlProps/ctrlProp964.xml"/><Relationship Id="rId99" Type="http://schemas.openxmlformats.org/officeDocument/2006/relationships/ctrlProp" Target="../ctrlProps/ctrlProp969.xml"/><Relationship Id="rId101" Type="http://schemas.openxmlformats.org/officeDocument/2006/relationships/ctrlProp" Target="../ctrlProps/ctrlProp971.xml"/><Relationship Id="rId122" Type="http://schemas.openxmlformats.org/officeDocument/2006/relationships/ctrlProp" Target="../ctrlProps/ctrlProp992.xml"/><Relationship Id="rId143" Type="http://schemas.openxmlformats.org/officeDocument/2006/relationships/ctrlProp" Target="../ctrlProps/ctrlProp1013.xml"/><Relationship Id="rId148" Type="http://schemas.openxmlformats.org/officeDocument/2006/relationships/ctrlProp" Target="../ctrlProps/ctrlProp1018.xml"/><Relationship Id="rId164" Type="http://schemas.openxmlformats.org/officeDocument/2006/relationships/ctrlProp" Target="../ctrlProps/ctrlProp1034.xml"/><Relationship Id="rId169" Type="http://schemas.openxmlformats.org/officeDocument/2006/relationships/ctrlProp" Target="../ctrlProps/ctrlProp1039.xml"/><Relationship Id="rId185" Type="http://schemas.openxmlformats.org/officeDocument/2006/relationships/ctrlProp" Target="../ctrlProps/ctrlProp1055.xml"/><Relationship Id="rId4" Type="http://schemas.openxmlformats.org/officeDocument/2006/relationships/ctrlProp" Target="../ctrlProps/ctrlProp874.xml"/><Relationship Id="rId9" Type="http://schemas.openxmlformats.org/officeDocument/2006/relationships/ctrlProp" Target="../ctrlProps/ctrlProp879.xml"/><Relationship Id="rId180" Type="http://schemas.openxmlformats.org/officeDocument/2006/relationships/ctrlProp" Target="../ctrlProps/ctrlProp1050.xml"/><Relationship Id="rId210" Type="http://schemas.openxmlformats.org/officeDocument/2006/relationships/ctrlProp" Target="../ctrlProps/ctrlProp1080.xml"/><Relationship Id="rId215" Type="http://schemas.openxmlformats.org/officeDocument/2006/relationships/ctrlProp" Target="../ctrlProps/ctrlProp1085.xml"/><Relationship Id="rId26" Type="http://schemas.openxmlformats.org/officeDocument/2006/relationships/ctrlProp" Target="../ctrlProps/ctrlProp896.xml"/><Relationship Id="rId47" Type="http://schemas.openxmlformats.org/officeDocument/2006/relationships/ctrlProp" Target="../ctrlProps/ctrlProp917.xml"/><Relationship Id="rId68" Type="http://schemas.openxmlformats.org/officeDocument/2006/relationships/ctrlProp" Target="../ctrlProps/ctrlProp938.xml"/><Relationship Id="rId89" Type="http://schemas.openxmlformats.org/officeDocument/2006/relationships/ctrlProp" Target="../ctrlProps/ctrlProp959.xml"/><Relationship Id="rId112" Type="http://schemas.openxmlformats.org/officeDocument/2006/relationships/ctrlProp" Target="../ctrlProps/ctrlProp982.xml"/><Relationship Id="rId133" Type="http://schemas.openxmlformats.org/officeDocument/2006/relationships/ctrlProp" Target="../ctrlProps/ctrlProp1003.xml"/><Relationship Id="rId154" Type="http://schemas.openxmlformats.org/officeDocument/2006/relationships/ctrlProp" Target="../ctrlProps/ctrlProp1024.xml"/><Relationship Id="rId175" Type="http://schemas.openxmlformats.org/officeDocument/2006/relationships/ctrlProp" Target="../ctrlProps/ctrlProp1045.xml"/><Relationship Id="rId196" Type="http://schemas.openxmlformats.org/officeDocument/2006/relationships/ctrlProp" Target="../ctrlProps/ctrlProp1066.xml"/><Relationship Id="rId200" Type="http://schemas.openxmlformats.org/officeDocument/2006/relationships/ctrlProp" Target="../ctrlProps/ctrlProp1070.xml"/><Relationship Id="rId16" Type="http://schemas.openxmlformats.org/officeDocument/2006/relationships/ctrlProp" Target="../ctrlProps/ctrlProp886.xml"/><Relationship Id="rId221" Type="http://schemas.openxmlformats.org/officeDocument/2006/relationships/ctrlProp" Target="../ctrlProps/ctrlProp1091.xml"/><Relationship Id="rId37" Type="http://schemas.openxmlformats.org/officeDocument/2006/relationships/ctrlProp" Target="../ctrlProps/ctrlProp907.xml"/><Relationship Id="rId58" Type="http://schemas.openxmlformats.org/officeDocument/2006/relationships/ctrlProp" Target="../ctrlProps/ctrlProp928.xml"/><Relationship Id="rId79" Type="http://schemas.openxmlformats.org/officeDocument/2006/relationships/ctrlProp" Target="../ctrlProps/ctrlProp949.xml"/><Relationship Id="rId102" Type="http://schemas.openxmlformats.org/officeDocument/2006/relationships/ctrlProp" Target="../ctrlProps/ctrlProp972.xml"/><Relationship Id="rId123" Type="http://schemas.openxmlformats.org/officeDocument/2006/relationships/ctrlProp" Target="../ctrlProps/ctrlProp993.xml"/><Relationship Id="rId144" Type="http://schemas.openxmlformats.org/officeDocument/2006/relationships/ctrlProp" Target="../ctrlProps/ctrlProp1014.xml"/><Relationship Id="rId90" Type="http://schemas.openxmlformats.org/officeDocument/2006/relationships/ctrlProp" Target="../ctrlProps/ctrlProp960.xml"/><Relationship Id="rId165" Type="http://schemas.openxmlformats.org/officeDocument/2006/relationships/ctrlProp" Target="../ctrlProps/ctrlProp1035.xml"/><Relationship Id="rId186" Type="http://schemas.openxmlformats.org/officeDocument/2006/relationships/ctrlProp" Target="../ctrlProps/ctrlProp1056.xml"/><Relationship Id="rId211" Type="http://schemas.openxmlformats.org/officeDocument/2006/relationships/ctrlProp" Target="../ctrlProps/ctrlProp1081.xml"/><Relationship Id="rId27" Type="http://schemas.openxmlformats.org/officeDocument/2006/relationships/ctrlProp" Target="../ctrlProps/ctrlProp897.xml"/><Relationship Id="rId48" Type="http://schemas.openxmlformats.org/officeDocument/2006/relationships/ctrlProp" Target="../ctrlProps/ctrlProp918.xml"/><Relationship Id="rId69" Type="http://schemas.openxmlformats.org/officeDocument/2006/relationships/ctrlProp" Target="../ctrlProps/ctrlProp939.xml"/><Relationship Id="rId113" Type="http://schemas.openxmlformats.org/officeDocument/2006/relationships/ctrlProp" Target="../ctrlProps/ctrlProp983.xml"/><Relationship Id="rId134" Type="http://schemas.openxmlformats.org/officeDocument/2006/relationships/ctrlProp" Target="../ctrlProps/ctrlProp1004.xml"/><Relationship Id="rId80" Type="http://schemas.openxmlformats.org/officeDocument/2006/relationships/ctrlProp" Target="../ctrlProps/ctrlProp950.xml"/><Relationship Id="rId155" Type="http://schemas.openxmlformats.org/officeDocument/2006/relationships/ctrlProp" Target="../ctrlProps/ctrlProp1025.xml"/><Relationship Id="rId176" Type="http://schemas.openxmlformats.org/officeDocument/2006/relationships/ctrlProp" Target="../ctrlProps/ctrlProp1046.xml"/><Relationship Id="rId197" Type="http://schemas.openxmlformats.org/officeDocument/2006/relationships/ctrlProp" Target="../ctrlProps/ctrlProp1067.xml"/><Relationship Id="rId201" Type="http://schemas.openxmlformats.org/officeDocument/2006/relationships/ctrlProp" Target="../ctrlProps/ctrlProp1071.xml"/><Relationship Id="rId222" Type="http://schemas.openxmlformats.org/officeDocument/2006/relationships/ctrlProp" Target="../ctrlProps/ctrlProp1092.xml"/><Relationship Id="rId17" Type="http://schemas.openxmlformats.org/officeDocument/2006/relationships/ctrlProp" Target="../ctrlProps/ctrlProp887.xml"/><Relationship Id="rId38" Type="http://schemas.openxmlformats.org/officeDocument/2006/relationships/ctrlProp" Target="../ctrlProps/ctrlProp908.xml"/><Relationship Id="rId59" Type="http://schemas.openxmlformats.org/officeDocument/2006/relationships/ctrlProp" Target="../ctrlProps/ctrlProp929.xml"/><Relationship Id="rId103" Type="http://schemas.openxmlformats.org/officeDocument/2006/relationships/ctrlProp" Target="../ctrlProps/ctrlProp973.xml"/><Relationship Id="rId124" Type="http://schemas.openxmlformats.org/officeDocument/2006/relationships/ctrlProp" Target="../ctrlProps/ctrlProp994.xml"/><Relationship Id="rId70" Type="http://schemas.openxmlformats.org/officeDocument/2006/relationships/ctrlProp" Target="../ctrlProps/ctrlProp940.xml"/><Relationship Id="rId91" Type="http://schemas.openxmlformats.org/officeDocument/2006/relationships/ctrlProp" Target="../ctrlProps/ctrlProp961.xml"/><Relationship Id="rId145" Type="http://schemas.openxmlformats.org/officeDocument/2006/relationships/ctrlProp" Target="../ctrlProps/ctrlProp1015.xml"/><Relationship Id="rId166" Type="http://schemas.openxmlformats.org/officeDocument/2006/relationships/ctrlProp" Target="../ctrlProps/ctrlProp1036.xml"/><Relationship Id="rId187" Type="http://schemas.openxmlformats.org/officeDocument/2006/relationships/ctrlProp" Target="../ctrlProps/ctrlProp1057.xml"/><Relationship Id="rId1" Type="http://schemas.openxmlformats.org/officeDocument/2006/relationships/printerSettings" Target="../printerSettings/printerSettings30.bin"/><Relationship Id="rId212" Type="http://schemas.openxmlformats.org/officeDocument/2006/relationships/ctrlProp" Target="../ctrlProps/ctrlProp1082.xml"/><Relationship Id="rId28" Type="http://schemas.openxmlformats.org/officeDocument/2006/relationships/ctrlProp" Target="../ctrlProps/ctrlProp898.xml"/><Relationship Id="rId49" Type="http://schemas.openxmlformats.org/officeDocument/2006/relationships/ctrlProp" Target="../ctrlProps/ctrlProp919.xml"/><Relationship Id="rId114" Type="http://schemas.openxmlformats.org/officeDocument/2006/relationships/ctrlProp" Target="../ctrlProps/ctrlProp984.xml"/><Relationship Id="rId60" Type="http://schemas.openxmlformats.org/officeDocument/2006/relationships/ctrlProp" Target="../ctrlProps/ctrlProp930.xml"/><Relationship Id="rId81" Type="http://schemas.openxmlformats.org/officeDocument/2006/relationships/ctrlProp" Target="../ctrlProps/ctrlProp951.xml"/><Relationship Id="rId135" Type="http://schemas.openxmlformats.org/officeDocument/2006/relationships/ctrlProp" Target="../ctrlProps/ctrlProp1005.xml"/><Relationship Id="rId156" Type="http://schemas.openxmlformats.org/officeDocument/2006/relationships/ctrlProp" Target="../ctrlProps/ctrlProp1026.xml"/><Relationship Id="rId177" Type="http://schemas.openxmlformats.org/officeDocument/2006/relationships/ctrlProp" Target="../ctrlProps/ctrlProp1047.xml"/><Relationship Id="rId198" Type="http://schemas.openxmlformats.org/officeDocument/2006/relationships/ctrlProp" Target="../ctrlProps/ctrlProp1068.xml"/><Relationship Id="rId202" Type="http://schemas.openxmlformats.org/officeDocument/2006/relationships/ctrlProp" Target="../ctrlProps/ctrlProp1072.xml"/><Relationship Id="rId223" Type="http://schemas.openxmlformats.org/officeDocument/2006/relationships/ctrlProp" Target="../ctrlProps/ctrlProp1093.xml"/><Relationship Id="rId18" Type="http://schemas.openxmlformats.org/officeDocument/2006/relationships/ctrlProp" Target="../ctrlProps/ctrlProp888.xml"/><Relationship Id="rId39" Type="http://schemas.openxmlformats.org/officeDocument/2006/relationships/ctrlProp" Target="../ctrlProps/ctrlProp909.xml"/><Relationship Id="rId50" Type="http://schemas.openxmlformats.org/officeDocument/2006/relationships/ctrlProp" Target="../ctrlProps/ctrlProp920.xml"/><Relationship Id="rId104" Type="http://schemas.openxmlformats.org/officeDocument/2006/relationships/ctrlProp" Target="../ctrlProps/ctrlProp974.xml"/><Relationship Id="rId125" Type="http://schemas.openxmlformats.org/officeDocument/2006/relationships/ctrlProp" Target="../ctrlProps/ctrlProp995.xml"/><Relationship Id="rId146" Type="http://schemas.openxmlformats.org/officeDocument/2006/relationships/ctrlProp" Target="../ctrlProps/ctrlProp1016.xml"/><Relationship Id="rId167" Type="http://schemas.openxmlformats.org/officeDocument/2006/relationships/ctrlProp" Target="../ctrlProps/ctrlProp1037.xml"/><Relationship Id="rId188" Type="http://schemas.openxmlformats.org/officeDocument/2006/relationships/ctrlProp" Target="../ctrlProps/ctrlProp1058.xml"/><Relationship Id="rId71" Type="http://schemas.openxmlformats.org/officeDocument/2006/relationships/ctrlProp" Target="../ctrlProps/ctrlProp941.xml"/><Relationship Id="rId92" Type="http://schemas.openxmlformats.org/officeDocument/2006/relationships/ctrlProp" Target="../ctrlProps/ctrlProp962.xml"/><Relationship Id="rId213" Type="http://schemas.openxmlformats.org/officeDocument/2006/relationships/ctrlProp" Target="../ctrlProps/ctrlProp1083.xml"/><Relationship Id="rId2" Type="http://schemas.openxmlformats.org/officeDocument/2006/relationships/drawing" Target="../drawings/drawing27.xml"/><Relationship Id="rId29" Type="http://schemas.openxmlformats.org/officeDocument/2006/relationships/ctrlProp" Target="../ctrlProps/ctrlProp899.xml"/><Relationship Id="rId40" Type="http://schemas.openxmlformats.org/officeDocument/2006/relationships/ctrlProp" Target="../ctrlProps/ctrlProp910.xml"/><Relationship Id="rId115" Type="http://schemas.openxmlformats.org/officeDocument/2006/relationships/ctrlProp" Target="../ctrlProps/ctrlProp985.xml"/><Relationship Id="rId136" Type="http://schemas.openxmlformats.org/officeDocument/2006/relationships/ctrlProp" Target="../ctrlProps/ctrlProp1006.xml"/><Relationship Id="rId157" Type="http://schemas.openxmlformats.org/officeDocument/2006/relationships/ctrlProp" Target="../ctrlProps/ctrlProp1027.xml"/><Relationship Id="rId178" Type="http://schemas.openxmlformats.org/officeDocument/2006/relationships/ctrlProp" Target="../ctrlProps/ctrlProp1048.xml"/><Relationship Id="rId61" Type="http://schemas.openxmlformats.org/officeDocument/2006/relationships/ctrlProp" Target="../ctrlProps/ctrlProp931.xml"/><Relationship Id="rId82" Type="http://schemas.openxmlformats.org/officeDocument/2006/relationships/ctrlProp" Target="../ctrlProps/ctrlProp952.xml"/><Relationship Id="rId199" Type="http://schemas.openxmlformats.org/officeDocument/2006/relationships/ctrlProp" Target="../ctrlProps/ctrlProp1069.xml"/><Relationship Id="rId203" Type="http://schemas.openxmlformats.org/officeDocument/2006/relationships/ctrlProp" Target="../ctrlProps/ctrlProp1073.xml"/><Relationship Id="rId19" Type="http://schemas.openxmlformats.org/officeDocument/2006/relationships/ctrlProp" Target="../ctrlProps/ctrlProp889.xml"/><Relationship Id="rId224" Type="http://schemas.openxmlformats.org/officeDocument/2006/relationships/ctrlProp" Target="../ctrlProps/ctrlProp1094.xml"/><Relationship Id="rId30" Type="http://schemas.openxmlformats.org/officeDocument/2006/relationships/ctrlProp" Target="../ctrlProps/ctrlProp900.xml"/><Relationship Id="rId105" Type="http://schemas.openxmlformats.org/officeDocument/2006/relationships/ctrlProp" Target="../ctrlProps/ctrlProp975.xml"/><Relationship Id="rId126" Type="http://schemas.openxmlformats.org/officeDocument/2006/relationships/ctrlProp" Target="../ctrlProps/ctrlProp996.xml"/><Relationship Id="rId147" Type="http://schemas.openxmlformats.org/officeDocument/2006/relationships/ctrlProp" Target="../ctrlProps/ctrlProp1017.xml"/><Relationship Id="rId168" Type="http://schemas.openxmlformats.org/officeDocument/2006/relationships/ctrlProp" Target="../ctrlProps/ctrlProp1038.xml"/><Relationship Id="rId51" Type="http://schemas.openxmlformats.org/officeDocument/2006/relationships/ctrlProp" Target="../ctrlProps/ctrlProp921.xml"/><Relationship Id="rId72" Type="http://schemas.openxmlformats.org/officeDocument/2006/relationships/ctrlProp" Target="../ctrlProps/ctrlProp942.xml"/><Relationship Id="rId93" Type="http://schemas.openxmlformats.org/officeDocument/2006/relationships/ctrlProp" Target="../ctrlProps/ctrlProp963.xml"/><Relationship Id="rId189" Type="http://schemas.openxmlformats.org/officeDocument/2006/relationships/ctrlProp" Target="../ctrlProps/ctrlProp1059.xml"/></Relationships>
</file>

<file path=xl/worksheets/_rels/sheet31.xml.rels><?xml version="1.0" encoding="UTF-8" standalone="yes"?>
<Relationships xmlns="http://schemas.openxmlformats.org/package/2006/relationships"><Relationship Id="rId117" Type="http://schemas.openxmlformats.org/officeDocument/2006/relationships/ctrlProp" Target="../ctrlProps/ctrlProp1212.xml"/><Relationship Id="rId21" Type="http://schemas.openxmlformats.org/officeDocument/2006/relationships/ctrlProp" Target="../ctrlProps/ctrlProp1116.xml"/><Relationship Id="rId42" Type="http://schemas.openxmlformats.org/officeDocument/2006/relationships/ctrlProp" Target="../ctrlProps/ctrlProp1137.xml"/><Relationship Id="rId63" Type="http://schemas.openxmlformats.org/officeDocument/2006/relationships/ctrlProp" Target="../ctrlProps/ctrlProp1158.xml"/><Relationship Id="rId84" Type="http://schemas.openxmlformats.org/officeDocument/2006/relationships/ctrlProp" Target="../ctrlProps/ctrlProp1179.xml"/><Relationship Id="rId138" Type="http://schemas.openxmlformats.org/officeDocument/2006/relationships/ctrlProp" Target="../ctrlProps/ctrlProp1233.xml"/><Relationship Id="rId159" Type="http://schemas.openxmlformats.org/officeDocument/2006/relationships/ctrlProp" Target="../ctrlProps/ctrlProp1254.xml"/><Relationship Id="rId170" Type="http://schemas.openxmlformats.org/officeDocument/2006/relationships/ctrlProp" Target="../ctrlProps/ctrlProp1265.xml"/><Relationship Id="rId191" Type="http://schemas.openxmlformats.org/officeDocument/2006/relationships/ctrlProp" Target="../ctrlProps/ctrlProp1286.xml"/><Relationship Id="rId205" Type="http://schemas.openxmlformats.org/officeDocument/2006/relationships/ctrlProp" Target="../ctrlProps/ctrlProp1300.xml"/><Relationship Id="rId226" Type="http://schemas.openxmlformats.org/officeDocument/2006/relationships/ctrlProp" Target="../ctrlProps/ctrlProp1321.xml"/><Relationship Id="rId107" Type="http://schemas.openxmlformats.org/officeDocument/2006/relationships/ctrlProp" Target="../ctrlProps/ctrlProp1202.xml"/><Relationship Id="rId11" Type="http://schemas.openxmlformats.org/officeDocument/2006/relationships/ctrlProp" Target="../ctrlProps/ctrlProp1106.xml"/><Relationship Id="rId32" Type="http://schemas.openxmlformats.org/officeDocument/2006/relationships/ctrlProp" Target="../ctrlProps/ctrlProp1127.xml"/><Relationship Id="rId53" Type="http://schemas.openxmlformats.org/officeDocument/2006/relationships/ctrlProp" Target="../ctrlProps/ctrlProp1148.xml"/><Relationship Id="rId74" Type="http://schemas.openxmlformats.org/officeDocument/2006/relationships/ctrlProp" Target="../ctrlProps/ctrlProp1169.xml"/><Relationship Id="rId128" Type="http://schemas.openxmlformats.org/officeDocument/2006/relationships/ctrlProp" Target="../ctrlProps/ctrlProp1223.xml"/><Relationship Id="rId149" Type="http://schemas.openxmlformats.org/officeDocument/2006/relationships/ctrlProp" Target="../ctrlProps/ctrlProp1244.xml"/><Relationship Id="rId5" Type="http://schemas.openxmlformats.org/officeDocument/2006/relationships/ctrlProp" Target="../ctrlProps/ctrlProp1100.xml"/><Relationship Id="rId95" Type="http://schemas.openxmlformats.org/officeDocument/2006/relationships/ctrlProp" Target="../ctrlProps/ctrlProp1190.xml"/><Relationship Id="rId160" Type="http://schemas.openxmlformats.org/officeDocument/2006/relationships/ctrlProp" Target="../ctrlProps/ctrlProp1255.xml"/><Relationship Id="rId181" Type="http://schemas.openxmlformats.org/officeDocument/2006/relationships/ctrlProp" Target="../ctrlProps/ctrlProp1276.xml"/><Relationship Id="rId216" Type="http://schemas.openxmlformats.org/officeDocument/2006/relationships/ctrlProp" Target="../ctrlProps/ctrlProp1311.xml"/><Relationship Id="rId22" Type="http://schemas.openxmlformats.org/officeDocument/2006/relationships/ctrlProp" Target="../ctrlProps/ctrlProp1117.xml"/><Relationship Id="rId43" Type="http://schemas.openxmlformats.org/officeDocument/2006/relationships/ctrlProp" Target="../ctrlProps/ctrlProp1138.xml"/><Relationship Id="rId64" Type="http://schemas.openxmlformats.org/officeDocument/2006/relationships/ctrlProp" Target="../ctrlProps/ctrlProp1159.xml"/><Relationship Id="rId118" Type="http://schemas.openxmlformats.org/officeDocument/2006/relationships/ctrlProp" Target="../ctrlProps/ctrlProp1213.xml"/><Relationship Id="rId139" Type="http://schemas.openxmlformats.org/officeDocument/2006/relationships/ctrlProp" Target="../ctrlProps/ctrlProp1234.xml"/><Relationship Id="rId85" Type="http://schemas.openxmlformats.org/officeDocument/2006/relationships/ctrlProp" Target="../ctrlProps/ctrlProp1180.xml"/><Relationship Id="rId150" Type="http://schemas.openxmlformats.org/officeDocument/2006/relationships/ctrlProp" Target="../ctrlProps/ctrlProp1245.xml"/><Relationship Id="rId171" Type="http://schemas.openxmlformats.org/officeDocument/2006/relationships/ctrlProp" Target="../ctrlProps/ctrlProp1266.xml"/><Relationship Id="rId192" Type="http://schemas.openxmlformats.org/officeDocument/2006/relationships/ctrlProp" Target="../ctrlProps/ctrlProp1287.xml"/><Relationship Id="rId206" Type="http://schemas.openxmlformats.org/officeDocument/2006/relationships/ctrlProp" Target="../ctrlProps/ctrlProp1301.xml"/><Relationship Id="rId227" Type="http://schemas.openxmlformats.org/officeDocument/2006/relationships/ctrlProp" Target="../ctrlProps/ctrlProp1322.xml"/><Relationship Id="rId12" Type="http://schemas.openxmlformats.org/officeDocument/2006/relationships/ctrlProp" Target="../ctrlProps/ctrlProp1107.xml"/><Relationship Id="rId33" Type="http://schemas.openxmlformats.org/officeDocument/2006/relationships/ctrlProp" Target="../ctrlProps/ctrlProp1128.xml"/><Relationship Id="rId108" Type="http://schemas.openxmlformats.org/officeDocument/2006/relationships/ctrlProp" Target="../ctrlProps/ctrlProp1203.xml"/><Relationship Id="rId129" Type="http://schemas.openxmlformats.org/officeDocument/2006/relationships/ctrlProp" Target="../ctrlProps/ctrlProp1224.xml"/><Relationship Id="rId54" Type="http://schemas.openxmlformats.org/officeDocument/2006/relationships/ctrlProp" Target="../ctrlProps/ctrlProp1149.xml"/><Relationship Id="rId75" Type="http://schemas.openxmlformats.org/officeDocument/2006/relationships/ctrlProp" Target="../ctrlProps/ctrlProp1170.xml"/><Relationship Id="rId96" Type="http://schemas.openxmlformats.org/officeDocument/2006/relationships/ctrlProp" Target="../ctrlProps/ctrlProp1191.xml"/><Relationship Id="rId140" Type="http://schemas.openxmlformats.org/officeDocument/2006/relationships/ctrlProp" Target="../ctrlProps/ctrlProp1235.xml"/><Relationship Id="rId161" Type="http://schemas.openxmlformats.org/officeDocument/2006/relationships/ctrlProp" Target="../ctrlProps/ctrlProp1256.xml"/><Relationship Id="rId182" Type="http://schemas.openxmlformats.org/officeDocument/2006/relationships/ctrlProp" Target="../ctrlProps/ctrlProp1277.xml"/><Relationship Id="rId217" Type="http://schemas.openxmlformats.org/officeDocument/2006/relationships/ctrlProp" Target="../ctrlProps/ctrlProp1312.xml"/><Relationship Id="rId6" Type="http://schemas.openxmlformats.org/officeDocument/2006/relationships/ctrlProp" Target="../ctrlProps/ctrlProp1101.xml"/><Relationship Id="rId23" Type="http://schemas.openxmlformats.org/officeDocument/2006/relationships/ctrlProp" Target="../ctrlProps/ctrlProp1118.xml"/><Relationship Id="rId119" Type="http://schemas.openxmlformats.org/officeDocument/2006/relationships/ctrlProp" Target="../ctrlProps/ctrlProp1214.xml"/><Relationship Id="rId44" Type="http://schemas.openxmlformats.org/officeDocument/2006/relationships/ctrlProp" Target="../ctrlProps/ctrlProp1139.xml"/><Relationship Id="rId65" Type="http://schemas.openxmlformats.org/officeDocument/2006/relationships/ctrlProp" Target="../ctrlProps/ctrlProp1160.xml"/><Relationship Id="rId86" Type="http://schemas.openxmlformats.org/officeDocument/2006/relationships/ctrlProp" Target="../ctrlProps/ctrlProp1181.xml"/><Relationship Id="rId130" Type="http://schemas.openxmlformats.org/officeDocument/2006/relationships/ctrlProp" Target="../ctrlProps/ctrlProp1225.xml"/><Relationship Id="rId151" Type="http://schemas.openxmlformats.org/officeDocument/2006/relationships/ctrlProp" Target="../ctrlProps/ctrlProp1246.xml"/><Relationship Id="rId172" Type="http://schemas.openxmlformats.org/officeDocument/2006/relationships/ctrlProp" Target="../ctrlProps/ctrlProp1267.xml"/><Relationship Id="rId193" Type="http://schemas.openxmlformats.org/officeDocument/2006/relationships/ctrlProp" Target="../ctrlProps/ctrlProp1288.xml"/><Relationship Id="rId207" Type="http://schemas.openxmlformats.org/officeDocument/2006/relationships/ctrlProp" Target="../ctrlProps/ctrlProp1302.xml"/><Relationship Id="rId228" Type="http://schemas.openxmlformats.org/officeDocument/2006/relationships/ctrlProp" Target="../ctrlProps/ctrlProp1323.xml"/><Relationship Id="rId13" Type="http://schemas.openxmlformats.org/officeDocument/2006/relationships/ctrlProp" Target="../ctrlProps/ctrlProp1108.xml"/><Relationship Id="rId109" Type="http://schemas.openxmlformats.org/officeDocument/2006/relationships/ctrlProp" Target="../ctrlProps/ctrlProp1204.xml"/><Relationship Id="rId34" Type="http://schemas.openxmlformats.org/officeDocument/2006/relationships/ctrlProp" Target="../ctrlProps/ctrlProp1129.xml"/><Relationship Id="rId55" Type="http://schemas.openxmlformats.org/officeDocument/2006/relationships/ctrlProp" Target="../ctrlProps/ctrlProp1150.xml"/><Relationship Id="rId76" Type="http://schemas.openxmlformats.org/officeDocument/2006/relationships/ctrlProp" Target="../ctrlProps/ctrlProp1171.xml"/><Relationship Id="rId97" Type="http://schemas.openxmlformats.org/officeDocument/2006/relationships/ctrlProp" Target="../ctrlProps/ctrlProp1192.xml"/><Relationship Id="rId120" Type="http://schemas.openxmlformats.org/officeDocument/2006/relationships/ctrlProp" Target="../ctrlProps/ctrlProp1215.xml"/><Relationship Id="rId141" Type="http://schemas.openxmlformats.org/officeDocument/2006/relationships/ctrlProp" Target="../ctrlProps/ctrlProp1236.xml"/><Relationship Id="rId7" Type="http://schemas.openxmlformats.org/officeDocument/2006/relationships/ctrlProp" Target="../ctrlProps/ctrlProp1102.xml"/><Relationship Id="rId162" Type="http://schemas.openxmlformats.org/officeDocument/2006/relationships/ctrlProp" Target="../ctrlProps/ctrlProp1257.xml"/><Relationship Id="rId183" Type="http://schemas.openxmlformats.org/officeDocument/2006/relationships/ctrlProp" Target="../ctrlProps/ctrlProp1278.xml"/><Relationship Id="rId218" Type="http://schemas.openxmlformats.org/officeDocument/2006/relationships/ctrlProp" Target="../ctrlProps/ctrlProp1313.xml"/><Relationship Id="rId24" Type="http://schemas.openxmlformats.org/officeDocument/2006/relationships/ctrlProp" Target="../ctrlProps/ctrlProp1119.xml"/><Relationship Id="rId45" Type="http://schemas.openxmlformats.org/officeDocument/2006/relationships/ctrlProp" Target="../ctrlProps/ctrlProp1140.xml"/><Relationship Id="rId66" Type="http://schemas.openxmlformats.org/officeDocument/2006/relationships/ctrlProp" Target="../ctrlProps/ctrlProp1161.xml"/><Relationship Id="rId87" Type="http://schemas.openxmlformats.org/officeDocument/2006/relationships/ctrlProp" Target="../ctrlProps/ctrlProp1182.xml"/><Relationship Id="rId110" Type="http://schemas.openxmlformats.org/officeDocument/2006/relationships/ctrlProp" Target="../ctrlProps/ctrlProp1205.xml"/><Relationship Id="rId131" Type="http://schemas.openxmlformats.org/officeDocument/2006/relationships/ctrlProp" Target="../ctrlProps/ctrlProp1226.xml"/><Relationship Id="rId152" Type="http://schemas.openxmlformats.org/officeDocument/2006/relationships/ctrlProp" Target="../ctrlProps/ctrlProp1247.xml"/><Relationship Id="rId173" Type="http://schemas.openxmlformats.org/officeDocument/2006/relationships/ctrlProp" Target="../ctrlProps/ctrlProp1268.xml"/><Relationship Id="rId194" Type="http://schemas.openxmlformats.org/officeDocument/2006/relationships/ctrlProp" Target="../ctrlProps/ctrlProp1289.xml"/><Relationship Id="rId208" Type="http://schemas.openxmlformats.org/officeDocument/2006/relationships/ctrlProp" Target="../ctrlProps/ctrlProp1303.xml"/><Relationship Id="rId14" Type="http://schemas.openxmlformats.org/officeDocument/2006/relationships/ctrlProp" Target="../ctrlProps/ctrlProp1109.xml"/><Relationship Id="rId35" Type="http://schemas.openxmlformats.org/officeDocument/2006/relationships/ctrlProp" Target="../ctrlProps/ctrlProp1130.xml"/><Relationship Id="rId56" Type="http://schemas.openxmlformats.org/officeDocument/2006/relationships/ctrlProp" Target="../ctrlProps/ctrlProp1151.xml"/><Relationship Id="rId77" Type="http://schemas.openxmlformats.org/officeDocument/2006/relationships/ctrlProp" Target="../ctrlProps/ctrlProp1172.xml"/><Relationship Id="rId100" Type="http://schemas.openxmlformats.org/officeDocument/2006/relationships/ctrlProp" Target="../ctrlProps/ctrlProp1195.xml"/><Relationship Id="rId8" Type="http://schemas.openxmlformats.org/officeDocument/2006/relationships/ctrlProp" Target="../ctrlProps/ctrlProp1103.xml"/><Relationship Id="rId98" Type="http://schemas.openxmlformats.org/officeDocument/2006/relationships/ctrlProp" Target="../ctrlProps/ctrlProp1193.xml"/><Relationship Id="rId121" Type="http://schemas.openxmlformats.org/officeDocument/2006/relationships/ctrlProp" Target="../ctrlProps/ctrlProp1216.xml"/><Relationship Id="rId142" Type="http://schemas.openxmlformats.org/officeDocument/2006/relationships/ctrlProp" Target="../ctrlProps/ctrlProp1237.xml"/><Relationship Id="rId163" Type="http://schemas.openxmlformats.org/officeDocument/2006/relationships/ctrlProp" Target="../ctrlProps/ctrlProp1258.xml"/><Relationship Id="rId184" Type="http://schemas.openxmlformats.org/officeDocument/2006/relationships/ctrlProp" Target="../ctrlProps/ctrlProp1279.xml"/><Relationship Id="rId219" Type="http://schemas.openxmlformats.org/officeDocument/2006/relationships/ctrlProp" Target="../ctrlProps/ctrlProp1314.xml"/><Relationship Id="rId3" Type="http://schemas.openxmlformats.org/officeDocument/2006/relationships/vmlDrawing" Target="../drawings/vmlDrawing20.vml"/><Relationship Id="rId214" Type="http://schemas.openxmlformats.org/officeDocument/2006/relationships/ctrlProp" Target="../ctrlProps/ctrlProp1309.xml"/><Relationship Id="rId25" Type="http://schemas.openxmlformats.org/officeDocument/2006/relationships/ctrlProp" Target="../ctrlProps/ctrlProp1120.xml"/><Relationship Id="rId46" Type="http://schemas.openxmlformats.org/officeDocument/2006/relationships/ctrlProp" Target="../ctrlProps/ctrlProp1141.xml"/><Relationship Id="rId67" Type="http://schemas.openxmlformats.org/officeDocument/2006/relationships/ctrlProp" Target="../ctrlProps/ctrlProp1162.xml"/><Relationship Id="rId116" Type="http://schemas.openxmlformats.org/officeDocument/2006/relationships/ctrlProp" Target="../ctrlProps/ctrlProp1211.xml"/><Relationship Id="rId137" Type="http://schemas.openxmlformats.org/officeDocument/2006/relationships/ctrlProp" Target="../ctrlProps/ctrlProp1232.xml"/><Relationship Id="rId158" Type="http://schemas.openxmlformats.org/officeDocument/2006/relationships/ctrlProp" Target="../ctrlProps/ctrlProp1253.xml"/><Relationship Id="rId20" Type="http://schemas.openxmlformats.org/officeDocument/2006/relationships/ctrlProp" Target="../ctrlProps/ctrlProp1115.xml"/><Relationship Id="rId41" Type="http://schemas.openxmlformats.org/officeDocument/2006/relationships/ctrlProp" Target="../ctrlProps/ctrlProp1136.xml"/><Relationship Id="rId62" Type="http://schemas.openxmlformats.org/officeDocument/2006/relationships/ctrlProp" Target="../ctrlProps/ctrlProp1157.xml"/><Relationship Id="rId83" Type="http://schemas.openxmlformats.org/officeDocument/2006/relationships/ctrlProp" Target="../ctrlProps/ctrlProp1178.xml"/><Relationship Id="rId88" Type="http://schemas.openxmlformats.org/officeDocument/2006/relationships/ctrlProp" Target="../ctrlProps/ctrlProp1183.xml"/><Relationship Id="rId111" Type="http://schemas.openxmlformats.org/officeDocument/2006/relationships/ctrlProp" Target="../ctrlProps/ctrlProp1206.xml"/><Relationship Id="rId132" Type="http://schemas.openxmlformats.org/officeDocument/2006/relationships/ctrlProp" Target="../ctrlProps/ctrlProp1227.xml"/><Relationship Id="rId153" Type="http://schemas.openxmlformats.org/officeDocument/2006/relationships/ctrlProp" Target="../ctrlProps/ctrlProp1248.xml"/><Relationship Id="rId174" Type="http://schemas.openxmlformats.org/officeDocument/2006/relationships/ctrlProp" Target="../ctrlProps/ctrlProp1269.xml"/><Relationship Id="rId179" Type="http://schemas.openxmlformats.org/officeDocument/2006/relationships/ctrlProp" Target="../ctrlProps/ctrlProp1274.xml"/><Relationship Id="rId195" Type="http://schemas.openxmlformats.org/officeDocument/2006/relationships/ctrlProp" Target="../ctrlProps/ctrlProp1290.xml"/><Relationship Id="rId209" Type="http://schemas.openxmlformats.org/officeDocument/2006/relationships/ctrlProp" Target="../ctrlProps/ctrlProp1304.xml"/><Relationship Id="rId190" Type="http://schemas.openxmlformats.org/officeDocument/2006/relationships/ctrlProp" Target="../ctrlProps/ctrlProp1285.xml"/><Relationship Id="rId204" Type="http://schemas.openxmlformats.org/officeDocument/2006/relationships/ctrlProp" Target="../ctrlProps/ctrlProp1299.xml"/><Relationship Id="rId220" Type="http://schemas.openxmlformats.org/officeDocument/2006/relationships/ctrlProp" Target="../ctrlProps/ctrlProp1315.xml"/><Relationship Id="rId225" Type="http://schemas.openxmlformats.org/officeDocument/2006/relationships/ctrlProp" Target="../ctrlProps/ctrlProp1320.xml"/><Relationship Id="rId15" Type="http://schemas.openxmlformats.org/officeDocument/2006/relationships/ctrlProp" Target="../ctrlProps/ctrlProp1110.xml"/><Relationship Id="rId36" Type="http://schemas.openxmlformats.org/officeDocument/2006/relationships/ctrlProp" Target="../ctrlProps/ctrlProp1131.xml"/><Relationship Id="rId57" Type="http://schemas.openxmlformats.org/officeDocument/2006/relationships/ctrlProp" Target="../ctrlProps/ctrlProp1152.xml"/><Relationship Id="rId106" Type="http://schemas.openxmlformats.org/officeDocument/2006/relationships/ctrlProp" Target="../ctrlProps/ctrlProp1201.xml"/><Relationship Id="rId127" Type="http://schemas.openxmlformats.org/officeDocument/2006/relationships/ctrlProp" Target="../ctrlProps/ctrlProp1222.xml"/><Relationship Id="rId10" Type="http://schemas.openxmlformats.org/officeDocument/2006/relationships/ctrlProp" Target="../ctrlProps/ctrlProp1105.xml"/><Relationship Id="rId31" Type="http://schemas.openxmlformats.org/officeDocument/2006/relationships/ctrlProp" Target="../ctrlProps/ctrlProp1126.xml"/><Relationship Id="rId52" Type="http://schemas.openxmlformats.org/officeDocument/2006/relationships/ctrlProp" Target="../ctrlProps/ctrlProp1147.xml"/><Relationship Id="rId73" Type="http://schemas.openxmlformats.org/officeDocument/2006/relationships/ctrlProp" Target="../ctrlProps/ctrlProp1168.xml"/><Relationship Id="rId78" Type="http://schemas.openxmlformats.org/officeDocument/2006/relationships/ctrlProp" Target="../ctrlProps/ctrlProp1173.xml"/><Relationship Id="rId94" Type="http://schemas.openxmlformats.org/officeDocument/2006/relationships/ctrlProp" Target="../ctrlProps/ctrlProp1189.xml"/><Relationship Id="rId99" Type="http://schemas.openxmlformats.org/officeDocument/2006/relationships/ctrlProp" Target="../ctrlProps/ctrlProp1194.xml"/><Relationship Id="rId101" Type="http://schemas.openxmlformats.org/officeDocument/2006/relationships/ctrlProp" Target="../ctrlProps/ctrlProp1196.xml"/><Relationship Id="rId122" Type="http://schemas.openxmlformats.org/officeDocument/2006/relationships/ctrlProp" Target="../ctrlProps/ctrlProp1217.xml"/><Relationship Id="rId143" Type="http://schemas.openxmlformats.org/officeDocument/2006/relationships/ctrlProp" Target="../ctrlProps/ctrlProp1238.xml"/><Relationship Id="rId148" Type="http://schemas.openxmlformats.org/officeDocument/2006/relationships/ctrlProp" Target="../ctrlProps/ctrlProp1243.xml"/><Relationship Id="rId164" Type="http://schemas.openxmlformats.org/officeDocument/2006/relationships/ctrlProp" Target="../ctrlProps/ctrlProp1259.xml"/><Relationship Id="rId169" Type="http://schemas.openxmlformats.org/officeDocument/2006/relationships/ctrlProp" Target="../ctrlProps/ctrlProp1264.xml"/><Relationship Id="rId185" Type="http://schemas.openxmlformats.org/officeDocument/2006/relationships/ctrlProp" Target="../ctrlProps/ctrlProp1280.xml"/><Relationship Id="rId4" Type="http://schemas.openxmlformats.org/officeDocument/2006/relationships/ctrlProp" Target="../ctrlProps/ctrlProp1099.xml"/><Relationship Id="rId9" Type="http://schemas.openxmlformats.org/officeDocument/2006/relationships/ctrlProp" Target="../ctrlProps/ctrlProp1104.xml"/><Relationship Id="rId180" Type="http://schemas.openxmlformats.org/officeDocument/2006/relationships/ctrlProp" Target="../ctrlProps/ctrlProp1275.xml"/><Relationship Id="rId210" Type="http://schemas.openxmlformats.org/officeDocument/2006/relationships/ctrlProp" Target="../ctrlProps/ctrlProp1305.xml"/><Relationship Id="rId215" Type="http://schemas.openxmlformats.org/officeDocument/2006/relationships/ctrlProp" Target="../ctrlProps/ctrlProp1310.xml"/><Relationship Id="rId26" Type="http://schemas.openxmlformats.org/officeDocument/2006/relationships/ctrlProp" Target="../ctrlProps/ctrlProp1121.xml"/><Relationship Id="rId47" Type="http://schemas.openxmlformats.org/officeDocument/2006/relationships/ctrlProp" Target="../ctrlProps/ctrlProp1142.xml"/><Relationship Id="rId68" Type="http://schemas.openxmlformats.org/officeDocument/2006/relationships/ctrlProp" Target="../ctrlProps/ctrlProp1163.xml"/><Relationship Id="rId89" Type="http://schemas.openxmlformats.org/officeDocument/2006/relationships/ctrlProp" Target="../ctrlProps/ctrlProp1184.xml"/><Relationship Id="rId112" Type="http://schemas.openxmlformats.org/officeDocument/2006/relationships/ctrlProp" Target="../ctrlProps/ctrlProp1207.xml"/><Relationship Id="rId133" Type="http://schemas.openxmlformats.org/officeDocument/2006/relationships/ctrlProp" Target="../ctrlProps/ctrlProp1228.xml"/><Relationship Id="rId154" Type="http://schemas.openxmlformats.org/officeDocument/2006/relationships/ctrlProp" Target="../ctrlProps/ctrlProp1249.xml"/><Relationship Id="rId175" Type="http://schemas.openxmlformats.org/officeDocument/2006/relationships/ctrlProp" Target="../ctrlProps/ctrlProp1270.xml"/><Relationship Id="rId196" Type="http://schemas.openxmlformats.org/officeDocument/2006/relationships/ctrlProp" Target="../ctrlProps/ctrlProp1291.xml"/><Relationship Id="rId200" Type="http://schemas.openxmlformats.org/officeDocument/2006/relationships/ctrlProp" Target="../ctrlProps/ctrlProp1295.xml"/><Relationship Id="rId16" Type="http://schemas.openxmlformats.org/officeDocument/2006/relationships/ctrlProp" Target="../ctrlProps/ctrlProp1111.xml"/><Relationship Id="rId221" Type="http://schemas.openxmlformats.org/officeDocument/2006/relationships/ctrlProp" Target="../ctrlProps/ctrlProp1316.xml"/><Relationship Id="rId37" Type="http://schemas.openxmlformats.org/officeDocument/2006/relationships/ctrlProp" Target="../ctrlProps/ctrlProp1132.xml"/><Relationship Id="rId58" Type="http://schemas.openxmlformats.org/officeDocument/2006/relationships/ctrlProp" Target="../ctrlProps/ctrlProp1153.xml"/><Relationship Id="rId79" Type="http://schemas.openxmlformats.org/officeDocument/2006/relationships/ctrlProp" Target="../ctrlProps/ctrlProp1174.xml"/><Relationship Id="rId102" Type="http://schemas.openxmlformats.org/officeDocument/2006/relationships/ctrlProp" Target="../ctrlProps/ctrlProp1197.xml"/><Relationship Id="rId123" Type="http://schemas.openxmlformats.org/officeDocument/2006/relationships/ctrlProp" Target="../ctrlProps/ctrlProp1218.xml"/><Relationship Id="rId144" Type="http://schemas.openxmlformats.org/officeDocument/2006/relationships/ctrlProp" Target="../ctrlProps/ctrlProp1239.xml"/><Relationship Id="rId90" Type="http://schemas.openxmlformats.org/officeDocument/2006/relationships/ctrlProp" Target="../ctrlProps/ctrlProp1185.xml"/><Relationship Id="rId165" Type="http://schemas.openxmlformats.org/officeDocument/2006/relationships/ctrlProp" Target="../ctrlProps/ctrlProp1260.xml"/><Relationship Id="rId186" Type="http://schemas.openxmlformats.org/officeDocument/2006/relationships/ctrlProp" Target="../ctrlProps/ctrlProp1281.xml"/><Relationship Id="rId211" Type="http://schemas.openxmlformats.org/officeDocument/2006/relationships/ctrlProp" Target="../ctrlProps/ctrlProp1306.xml"/><Relationship Id="rId27" Type="http://schemas.openxmlformats.org/officeDocument/2006/relationships/ctrlProp" Target="../ctrlProps/ctrlProp1122.xml"/><Relationship Id="rId48" Type="http://schemas.openxmlformats.org/officeDocument/2006/relationships/ctrlProp" Target="../ctrlProps/ctrlProp1143.xml"/><Relationship Id="rId69" Type="http://schemas.openxmlformats.org/officeDocument/2006/relationships/ctrlProp" Target="../ctrlProps/ctrlProp1164.xml"/><Relationship Id="rId113" Type="http://schemas.openxmlformats.org/officeDocument/2006/relationships/ctrlProp" Target="../ctrlProps/ctrlProp1208.xml"/><Relationship Id="rId134" Type="http://schemas.openxmlformats.org/officeDocument/2006/relationships/ctrlProp" Target="../ctrlProps/ctrlProp1229.xml"/><Relationship Id="rId80" Type="http://schemas.openxmlformats.org/officeDocument/2006/relationships/ctrlProp" Target="../ctrlProps/ctrlProp1175.xml"/><Relationship Id="rId155" Type="http://schemas.openxmlformats.org/officeDocument/2006/relationships/ctrlProp" Target="../ctrlProps/ctrlProp1250.xml"/><Relationship Id="rId176" Type="http://schemas.openxmlformats.org/officeDocument/2006/relationships/ctrlProp" Target="../ctrlProps/ctrlProp1271.xml"/><Relationship Id="rId197" Type="http://schemas.openxmlformats.org/officeDocument/2006/relationships/ctrlProp" Target="../ctrlProps/ctrlProp1292.xml"/><Relationship Id="rId201" Type="http://schemas.openxmlformats.org/officeDocument/2006/relationships/ctrlProp" Target="../ctrlProps/ctrlProp1296.xml"/><Relationship Id="rId222" Type="http://schemas.openxmlformats.org/officeDocument/2006/relationships/ctrlProp" Target="../ctrlProps/ctrlProp1317.xml"/><Relationship Id="rId17" Type="http://schemas.openxmlformats.org/officeDocument/2006/relationships/ctrlProp" Target="../ctrlProps/ctrlProp1112.xml"/><Relationship Id="rId38" Type="http://schemas.openxmlformats.org/officeDocument/2006/relationships/ctrlProp" Target="../ctrlProps/ctrlProp1133.xml"/><Relationship Id="rId59" Type="http://schemas.openxmlformats.org/officeDocument/2006/relationships/ctrlProp" Target="../ctrlProps/ctrlProp1154.xml"/><Relationship Id="rId103" Type="http://schemas.openxmlformats.org/officeDocument/2006/relationships/ctrlProp" Target="../ctrlProps/ctrlProp1198.xml"/><Relationship Id="rId124" Type="http://schemas.openxmlformats.org/officeDocument/2006/relationships/ctrlProp" Target="../ctrlProps/ctrlProp1219.xml"/><Relationship Id="rId70" Type="http://schemas.openxmlformats.org/officeDocument/2006/relationships/ctrlProp" Target="../ctrlProps/ctrlProp1165.xml"/><Relationship Id="rId91" Type="http://schemas.openxmlformats.org/officeDocument/2006/relationships/ctrlProp" Target="../ctrlProps/ctrlProp1186.xml"/><Relationship Id="rId145" Type="http://schemas.openxmlformats.org/officeDocument/2006/relationships/ctrlProp" Target="../ctrlProps/ctrlProp1240.xml"/><Relationship Id="rId166" Type="http://schemas.openxmlformats.org/officeDocument/2006/relationships/ctrlProp" Target="../ctrlProps/ctrlProp1261.xml"/><Relationship Id="rId187" Type="http://schemas.openxmlformats.org/officeDocument/2006/relationships/ctrlProp" Target="../ctrlProps/ctrlProp1282.xml"/><Relationship Id="rId1" Type="http://schemas.openxmlformats.org/officeDocument/2006/relationships/printerSettings" Target="../printerSettings/printerSettings31.bin"/><Relationship Id="rId212" Type="http://schemas.openxmlformats.org/officeDocument/2006/relationships/ctrlProp" Target="../ctrlProps/ctrlProp1307.xml"/><Relationship Id="rId28" Type="http://schemas.openxmlformats.org/officeDocument/2006/relationships/ctrlProp" Target="../ctrlProps/ctrlProp1123.xml"/><Relationship Id="rId49" Type="http://schemas.openxmlformats.org/officeDocument/2006/relationships/ctrlProp" Target="../ctrlProps/ctrlProp1144.xml"/><Relationship Id="rId114" Type="http://schemas.openxmlformats.org/officeDocument/2006/relationships/ctrlProp" Target="../ctrlProps/ctrlProp1209.xml"/><Relationship Id="rId60" Type="http://schemas.openxmlformats.org/officeDocument/2006/relationships/ctrlProp" Target="../ctrlProps/ctrlProp1155.xml"/><Relationship Id="rId81" Type="http://schemas.openxmlformats.org/officeDocument/2006/relationships/ctrlProp" Target="../ctrlProps/ctrlProp1176.xml"/><Relationship Id="rId135" Type="http://schemas.openxmlformats.org/officeDocument/2006/relationships/ctrlProp" Target="../ctrlProps/ctrlProp1230.xml"/><Relationship Id="rId156" Type="http://schemas.openxmlformats.org/officeDocument/2006/relationships/ctrlProp" Target="../ctrlProps/ctrlProp1251.xml"/><Relationship Id="rId177" Type="http://schemas.openxmlformats.org/officeDocument/2006/relationships/ctrlProp" Target="../ctrlProps/ctrlProp1272.xml"/><Relationship Id="rId198" Type="http://schemas.openxmlformats.org/officeDocument/2006/relationships/ctrlProp" Target="../ctrlProps/ctrlProp1293.xml"/><Relationship Id="rId202" Type="http://schemas.openxmlformats.org/officeDocument/2006/relationships/ctrlProp" Target="../ctrlProps/ctrlProp1297.xml"/><Relationship Id="rId223" Type="http://schemas.openxmlformats.org/officeDocument/2006/relationships/ctrlProp" Target="../ctrlProps/ctrlProp1318.xml"/><Relationship Id="rId18" Type="http://schemas.openxmlformats.org/officeDocument/2006/relationships/ctrlProp" Target="../ctrlProps/ctrlProp1113.xml"/><Relationship Id="rId39" Type="http://schemas.openxmlformats.org/officeDocument/2006/relationships/ctrlProp" Target="../ctrlProps/ctrlProp1134.xml"/><Relationship Id="rId50" Type="http://schemas.openxmlformats.org/officeDocument/2006/relationships/ctrlProp" Target="../ctrlProps/ctrlProp1145.xml"/><Relationship Id="rId104" Type="http://schemas.openxmlformats.org/officeDocument/2006/relationships/ctrlProp" Target="../ctrlProps/ctrlProp1199.xml"/><Relationship Id="rId125" Type="http://schemas.openxmlformats.org/officeDocument/2006/relationships/ctrlProp" Target="../ctrlProps/ctrlProp1220.xml"/><Relationship Id="rId146" Type="http://schemas.openxmlformats.org/officeDocument/2006/relationships/ctrlProp" Target="../ctrlProps/ctrlProp1241.xml"/><Relationship Id="rId167" Type="http://schemas.openxmlformats.org/officeDocument/2006/relationships/ctrlProp" Target="../ctrlProps/ctrlProp1262.xml"/><Relationship Id="rId188" Type="http://schemas.openxmlformats.org/officeDocument/2006/relationships/ctrlProp" Target="../ctrlProps/ctrlProp1283.xml"/><Relationship Id="rId71" Type="http://schemas.openxmlformats.org/officeDocument/2006/relationships/ctrlProp" Target="../ctrlProps/ctrlProp1166.xml"/><Relationship Id="rId92" Type="http://schemas.openxmlformats.org/officeDocument/2006/relationships/ctrlProp" Target="../ctrlProps/ctrlProp1187.xml"/><Relationship Id="rId213" Type="http://schemas.openxmlformats.org/officeDocument/2006/relationships/ctrlProp" Target="../ctrlProps/ctrlProp1308.xml"/><Relationship Id="rId2" Type="http://schemas.openxmlformats.org/officeDocument/2006/relationships/drawing" Target="../drawings/drawing28.xml"/><Relationship Id="rId29" Type="http://schemas.openxmlformats.org/officeDocument/2006/relationships/ctrlProp" Target="../ctrlProps/ctrlProp1124.xml"/><Relationship Id="rId40" Type="http://schemas.openxmlformats.org/officeDocument/2006/relationships/ctrlProp" Target="../ctrlProps/ctrlProp1135.xml"/><Relationship Id="rId115" Type="http://schemas.openxmlformats.org/officeDocument/2006/relationships/ctrlProp" Target="../ctrlProps/ctrlProp1210.xml"/><Relationship Id="rId136" Type="http://schemas.openxmlformats.org/officeDocument/2006/relationships/ctrlProp" Target="../ctrlProps/ctrlProp1231.xml"/><Relationship Id="rId157" Type="http://schemas.openxmlformats.org/officeDocument/2006/relationships/ctrlProp" Target="../ctrlProps/ctrlProp1252.xml"/><Relationship Id="rId178" Type="http://schemas.openxmlformats.org/officeDocument/2006/relationships/ctrlProp" Target="../ctrlProps/ctrlProp1273.xml"/><Relationship Id="rId61" Type="http://schemas.openxmlformats.org/officeDocument/2006/relationships/ctrlProp" Target="../ctrlProps/ctrlProp1156.xml"/><Relationship Id="rId82" Type="http://schemas.openxmlformats.org/officeDocument/2006/relationships/ctrlProp" Target="../ctrlProps/ctrlProp1177.xml"/><Relationship Id="rId199" Type="http://schemas.openxmlformats.org/officeDocument/2006/relationships/ctrlProp" Target="../ctrlProps/ctrlProp1294.xml"/><Relationship Id="rId203" Type="http://schemas.openxmlformats.org/officeDocument/2006/relationships/ctrlProp" Target="../ctrlProps/ctrlProp1298.xml"/><Relationship Id="rId19" Type="http://schemas.openxmlformats.org/officeDocument/2006/relationships/ctrlProp" Target="../ctrlProps/ctrlProp1114.xml"/><Relationship Id="rId224" Type="http://schemas.openxmlformats.org/officeDocument/2006/relationships/ctrlProp" Target="../ctrlProps/ctrlProp1319.xml"/><Relationship Id="rId30" Type="http://schemas.openxmlformats.org/officeDocument/2006/relationships/ctrlProp" Target="../ctrlProps/ctrlProp1125.xml"/><Relationship Id="rId105" Type="http://schemas.openxmlformats.org/officeDocument/2006/relationships/ctrlProp" Target="../ctrlProps/ctrlProp1200.xml"/><Relationship Id="rId126" Type="http://schemas.openxmlformats.org/officeDocument/2006/relationships/ctrlProp" Target="../ctrlProps/ctrlProp1221.xml"/><Relationship Id="rId147" Type="http://schemas.openxmlformats.org/officeDocument/2006/relationships/ctrlProp" Target="../ctrlProps/ctrlProp1242.xml"/><Relationship Id="rId168" Type="http://schemas.openxmlformats.org/officeDocument/2006/relationships/ctrlProp" Target="../ctrlProps/ctrlProp1263.xml"/><Relationship Id="rId51" Type="http://schemas.openxmlformats.org/officeDocument/2006/relationships/ctrlProp" Target="../ctrlProps/ctrlProp1146.xml"/><Relationship Id="rId72" Type="http://schemas.openxmlformats.org/officeDocument/2006/relationships/ctrlProp" Target="../ctrlProps/ctrlProp1167.xml"/><Relationship Id="rId93" Type="http://schemas.openxmlformats.org/officeDocument/2006/relationships/ctrlProp" Target="../ctrlProps/ctrlProp1188.xml"/><Relationship Id="rId189" Type="http://schemas.openxmlformats.org/officeDocument/2006/relationships/ctrlProp" Target="../ctrlProps/ctrlProp1284.xml"/></Relationships>
</file>

<file path=xl/worksheets/_rels/sheet32.xml.rels><?xml version="1.0" encoding="UTF-8" standalone="yes"?>
<Relationships xmlns="http://schemas.openxmlformats.org/package/2006/relationships"><Relationship Id="rId117" Type="http://schemas.openxmlformats.org/officeDocument/2006/relationships/ctrlProp" Target="../ctrlProps/ctrlProp1437.xml"/><Relationship Id="rId21" Type="http://schemas.openxmlformats.org/officeDocument/2006/relationships/ctrlProp" Target="../ctrlProps/ctrlProp1341.xml"/><Relationship Id="rId42" Type="http://schemas.openxmlformats.org/officeDocument/2006/relationships/ctrlProp" Target="../ctrlProps/ctrlProp1362.xml"/><Relationship Id="rId63" Type="http://schemas.openxmlformats.org/officeDocument/2006/relationships/ctrlProp" Target="../ctrlProps/ctrlProp1383.xml"/><Relationship Id="rId84" Type="http://schemas.openxmlformats.org/officeDocument/2006/relationships/ctrlProp" Target="../ctrlProps/ctrlProp1404.xml"/><Relationship Id="rId138" Type="http://schemas.openxmlformats.org/officeDocument/2006/relationships/ctrlProp" Target="../ctrlProps/ctrlProp1458.xml"/><Relationship Id="rId159" Type="http://schemas.openxmlformats.org/officeDocument/2006/relationships/ctrlProp" Target="../ctrlProps/ctrlProp1479.xml"/><Relationship Id="rId170" Type="http://schemas.openxmlformats.org/officeDocument/2006/relationships/ctrlProp" Target="../ctrlProps/ctrlProp1490.xml"/><Relationship Id="rId191" Type="http://schemas.openxmlformats.org/officeDocument/2006/relationships/ctrlProp" Target="../ctrlProps/ctrlProp1511.xml"/><Relationship Id="rId107" Type="http://schemas.openxmlformats.org/officeDocument/2006/relationships/ctrlProp" Target="../ctrlProps/ctrlProp1427.xml"/><Relationship Id="rId11" Type="http://schemas.openxmlformats.org/officeDocument/2006/relationships/ctrlProp" Target="../ctrlProps/ctrlProp1331.xml"/><Relationship Id="rId32" Type="http://schemas.openxmlformats.org/officeDocument/2006/relationships/ctrlProp" Target="../ctrlProps/ctrlProp1352.xml"/><Relationship Id="rId53" Type="http://schemas.openxmlformats.org/officeDocument/2006/relationships/ctrlProp" Target="../ctrlProps/ctrlProp1373.xml"/><Relationship Id="rId74" Type="http://schemas.openxmlformats.org/officeDocument/2006/relationships/ctrlProp" Target="../ctrlProps/ctrlProp1394.xml"/><Relationship Id="rId128" Type="http://schemas.openxmlformats.org/officeDocument/2006/relationships/ctrlProp" Target="../ctrlProps/ctrlProp1448.xml"/><Relationship Id="rId149" Type="http://schemas.openxmlformats.org/officeDocument/2006/relationships/ctrlProp" Target="../ctrlProps/ctrlProp1469.xml"/><Relationship Id="rId5" Type="http://schemas.openxmlformats.org/officeDocument/2006/relationships/ctrlProp" Target="../ctrlProps/ctrlProp1325.xml"/><Relationship Id="rId95" Type="http://schemas.openxmlformats.org/officeDocument/2006/relationships/ctrlProp" Target="../ctrlProps/ctrlProp1415.xml"/><Relationship Id="rId160" Type="http://schemas.openxmlformats.org/officeDocument/2006/relationships/ctrlProp" Target="../ctrlProps/ctrlProp1480.xml"/><Relationship Id="rId181" Type="http://schemas.openxmlformats.org/officeDocument/2006/relationships/ctrlProp" Target="../ctrlProps/ctrlProp1501.xml"/><Relationship Id="rId22" Type="http://schemas.openxmlformats.org/officeDocument/2006/relationships/ctrlProp" Target="../ctrlProps/ctrlProp1342.xml"/><Relationship Id="rId43" Type="http://schemas.openxmlformats.org/officeDocument/2006/relationships/ctrlProp" Target="../ctrlProps/ctrlProp1363.xml"/><Relationship Id="rId64" Type="http://schemas.openxmlformats.org/officeDocument/2006/relationships/ctrlProp" Target="../ctrlProps/ctrlProp1384.xml"/><Relationship Id="rId118" Type="http://schemas.openxmlformats.org/officeDocument/2006/relationships/ctrlProp" Target="../ctrlProps/ctrlProp1438.xml"/><Relationship Id="rId139" Type="http://schemas.openxmlformats.org/officeDocument/2006/relationships/ctrlProp" Target="../ctrlProps/ctrlProp1459.xml"/><Relationship Id="rId85" Type="http://schemas.openxmlformats.org/officeDocument/2006/relationships/ctrlProp" Target="../ctrlProps/ctrlProp1405.xml"/><Relationship Id="rId150" Type="http://schemas.openxmlformats.org/officeDocument/2006/relationships/ctrlProp" Target="../ctrlProps/ctrlProp1470.xml"/><Relationship Id="rId171" Type="http://schemas.openxmlformats.org/officeDocument/2006/relationships/ctrlProp" Target="../ctrlProps/ctrlProp1491.xml"/><Relationship Id="rId192" Type="http://schemas.openxmlformats.org/officeDocument/2006/relationships/ctrlProp" Target="../ctrlProps/ctrlProp1512.xml"/><Relationship Id="rId12" Type="http://schemas.openxmlformats.org/officeDocument/2006/relationships/ctrlProp" Target="../ctrlProps/ctrlProp1332.xml"/><Relationship Id="rId33" Type="http://schemas.openxmlformats.org/officeDocument/2006/relationships/ctrlProp" Target="../ctrlProps/ctrlProp1353.xml"/><Relationship Id="rId108" Type="http://schemas.openxmlformats.org/officeDocument/2006/relationships/ctrlProp" Target="../ctrlProps/ctrlProp1428.xml"/><Relationship Id="rId129" Type="http://schemas.openxmlformats.org/officeDocument/2006/relationships/ctrlProp" Target="../ctrlProps/ctrlProp1449.xml"/><Relationship Id="rId54" Type="http://schemas.openxmlformats.org/officeDocument/2006/relationships/ctrlProp" Target="../ctrlProps/ctrlProp1374.xml"/><Relationship Id="rId75" Type="http://schemas.openxmlformats.org/officeDocument/2006/relationships/ctrlProp" Target="../ctrlProps/ctrlProp1395.xml"/><Relationship Id="rId96" Type="http://schemas.openxmlformats.org/officeDocument/2006/relationships/ctrlProp" Target="../ctrlProps/ctrlProp1416.xml"/><Relationship Id="rId140" Type="http://schemas.openxmlformats.org/officeDocument/2006/relationships/ctrlProp" Target="../ctrlProps/ctrlProp1460.xml"/><Relationship Id="rId161" Type="http://schemas.openxmlformats.org/officeDocument/2006/relationships/ctrlProp" Target="../ctrlProps/ctrlProp1481.xml"/><Relationship Id="rId182" Type="http://schemas.openxmlformats.org/officeDocument/2006/relationships/ctrlProp" Target="../ctrlProps/ctrlProp1502.xml"/><Relationship Id="rId6" Type="http://schemas.openxmlformats.org/officeDocument/2006/relationships/ctrlProp" Target="../ctrlProps/ctrlProp1326.xml"/><Relationship Id="rId23" Type="http://schemas.openxmlformats.org/officeDocument/2006/relationships/ctrlProp" Target="../ctrlProps/ctrlProp1343.xml"/><Relationship Id="rId119" Type="http://schemas.openxmlformats.org/officeDocument/2006/relationships/ctrlProp" Target="../ctrlProps/ctrlProp1439.xml"/><Relationship Id="rId44" Type="http://schemas.openxmlformats.org/officeDocument/2006/relationships/ctrlProp" Target="../ctrlProps/ctrlProp1364.xml"/><Relationship Id="rId65" Type="http://schemas.openxmlformats.org/officeDocument/2006/relationships/ctrlProp" Target="../ctrlProps/ctrlProp1385.xml"/><Relationship Id="rId86" Type="http://schemas.openxmlformats.org/officeDocument/2006/relationships/ctrlProp" Target="../ctrlProps/ctrlProp1406.xml"/><Relationship Id="rId130" Type="http://schemas.openxmlformats.org/officeDocument/2006/relationships/ctrlProp" Target="../ctrlProps/ctrlProp1450.xml"/><Relationship Id="rId151" Type="http://schemas.openxmlformats.org/officeDocument/2006/relationships/ctrlProp" Target="../ctrlProps/ctrlProp1471.xml"/><Relationship Id="rId172" Type="http://schemas.openxmlformats.org/officeDocument/2006/relationships/ctrlProp" Target="../ctrlProps/ctrlProp1492.xml"/><Relationship Id="rId193" Type="http://schemas.openxmlformats.org/officeDocument/2006/relationships/ctrlProp" Target="../ctrlProps/ctrlProp1513.xml"/><Relationship Id="rId13" Type="http://schemas.openxmlformats.org/officeDocument/2006/relationships/ctrlProp" Target="../ctrlProps/ctrlProp1333.xml"/><Relationship Id="rId109" Type="http://schemas.openxmlformats.org/officeDocument/2006/relationships/ctrlProp" Target="../ctrlProps/ctrlProp1429.xml"/><Relationship Id="rId34" Type="http://schemas.openxmlformats.org/officeDocument/2006/relationships/ctrlProp" Target="../ctrlProps/ctrlProp1354.xml"/><Relationship Id="rId50" Type="http://schemas.openxmlformats.org/officeDocument/2006/relationships/ctrlProp" Target="../ctrlProps/ctrlProp1370.xml"/><Relationship Id="rId55" Type="http://schemas.openxmlformats.org/officeDocument/2006/relationships/ctrlProp" Target="../ctrlProps/ctrlProp1375.xml"/><Relationship Id="rId76" Type="http://schemas.openxmlformats.org/officeDocument/2006/relationships/ctrlProp" Target="../ctrlProps/ctrlProp1396.xml"/><Relationship Id="rId97" Type="http://schemas.openxmlformats.org/officeDocument/2006/relationships/ctrlProp" Target="../ctrlProps/ctrlProp1417.xml"/><Relationship Id="rId104" Type="http://schemas.openxmlformats.org/officeDocument/2006/relationships/ctrlProp" Target="../ctrlProps/ctrlProp1424.xml"/><Relationship Id="rId120" Type="http://schemas.openxmlformats.org/officeDocument/2006/relationships/ctrlProp" Target="../ctrlProps/ctrlProp1440.xml"/><Relationship Id="rId125" Type="http://schemas.openxmlformats.org/officeDocument/2006/relationships/ctrlProp" Target="../ctrlProps/ctrlProp1445.xml"/><Relationship Id="rId141" Type="http://schemas.openxmlformats.org/officeDocument/2006/relationships/ctrlProp" Target="../ctrlProps/ctrlProp1461.xml"/><Relationship Id="rId146" Type="http://schemas.openxmlformats.org/officeDocument/2006/relationships/ctrlProp" Target="../ctrlProps/ctrlProp1466.xml"/><Relationship Id="rId167" Type="http://schemas.openxmlformats.org/officeDocument/2006/relationships/ctrlProp" Target="../ctrlProps/ctrlProp1487.xml"/><Relationship Id="rId188" Type="http://schemas.openxmlformats.org/officeDocument/2006/relationships/ctrlProp" Target="../ctrlProps/ctrlProp1508.xml"/><Relationship Id="rId7" Type="http://schemas.openxmlformats.org/officeDocument/2006/relationships/ctrlProp" Target="../ctrlProps/ctrlProp1327.xml"/><Relationship Id="rId71" Type="http://schemas.openxmlformats.org/officeDocument/2006/relationships/ctrlProp" Target="../ctrlProps/ctrlProp1391.xml"/><Relationship Id="rId92" Type="http://schemas.openxmlformats.org/officeDocument/2006/relationships/ctrlProp" Target="../ctrlProps/ctrlProp1412.xml"/><Relationship Id="rId162" Type="http://schemas.openxmlformats.org/officeDocument/2006/relationships/ctrlProp" Target="../ctrlProps/ctrlProp1482.xml"/><Relationship Id="rId183" Type="http://schemas.openxmlformats.org/officeDocument/2006/relationships/ctrlProp" Target="../ctrlProps/ctrlProp1503.xml"/><Relationship Id="rId2" Type="http://schemas.openxmlformats.org/officeDocument/2006/relationships/drawing" Target="../drawings/drawing29.xml"/><Relationship Id="rId29" Type="http://schemas.openxmlformats.org/officeDocument/2006/relationships/ctrlProp" Target="../ctrlProps/ctrlProp1349.xml"/><Relationship Id="rId24" Type="http://schemas.openxmlformats.org/officeDocument/2006/relationships/ctrlProp" Target="../ctrlProps/ctrlProp1344.xml"/><Relationship Id="rId40" Type="http://schemas.openxmlformats.org/officeDocument/2006/relationships/ctrlProp" Target="../ctrlProps/ctrlProp1360.xml"/><Relationship Id="rId45" Type="http://schemas.openxmlformats.org/officeDocument/2006/relationships/ctrlProp" Target="../ctrlProps/ctrlProp1365.xml"/><Relationship Id="rId66" Type="http://schemas.openxmlformats.org/officeDocument/2006/relationships/ctrlProp" Target="../ctrlProps/ctrlProp1386.xml"/><Relationship Id="rId87" Type="http://schemas.openxmlformats.org/officeDocument/2006/relationships/ctrlProp" Target="../ctrlProps/ctrlProp1407.xml"/><Relationship Id="rId110" Type="http://schemas.openxmlformats.org/officeDocument/2006/relationships/ctrlProp" Target="../ctrlProps/ctrlProp1430.xml"/><Relationship Id="rId115" Type="http://schemas.openxmlformats.org/officeDocument/2006/relationships/ctrlProp" Target="../ctrlProps/ctrlProp1435.xml"/><Relationship Id="rId131" Type="http://schemas.openxmlformats.org/officeDocument/2006/relationships/ctrlProp" Target="../ctrlProps/ctrlProp1451.xml"/><Relationship Id="rId136" Type="http://schemas.openxmlformats.org/officeDocument/2006/relationships/ctrlProp" Target="../ctrlProps/ctrlProp1456.xml"/><Relationship Id="rId157" Type="http://schemas.openxmlformats.org/officeDocument/2006/relationships/ctrlProp" Target="../ctrlProps/ctrlProp1477.xml"/><Relationship Id="rId178" Type="http://schemas.openxmlformats.org/officeDocument/2006/relationships/ctrlProp" Target="../ctrlProps/ctrlProp1498.xml"/><Relationship Id="rId61" Type="http://schemas.openxmlformats.org/officeDocument/2006/relationships/ctrlProp" Target="../ctrlProps/ctrlProp1381.xml"/><Relationship Id="rId82" Type="http://schemas.openxmlformats.org/officeDocument/2006/relationships/ctrlProp" Target="../ctrlProps/ctrlProp1402.xml"/><Relationship Id="rId152" Type="http://schemas.openxmlformats.org/officeDocument/2006/relationships/ctrlProp" Target="../ctrlProps/ctrlProp1472.xml"/><Relationship Id="rId173" Type="http://schemas.openxmlformats.org/officeDocument/2006/relationships/ctrlProp" Target="../ctrlProps/ctrlProp1493.xml"/><Relationship Id="rId194" Type="http://schemas.openxmlformats.org/officeDocument/2006/relationships/ctrlProp" Target="../ctrlProps/ctrlProp1514.xml"/><Relationship Id="rId19" Type="http://schemas.openxmlformats.org/officeDocument/2006/relationships/ctrlProp" Target="../ctrlProps/ctrlProp1339.xml"/><Relationship Id="rId14" Type="http://schemas.openxmlformats.org/officeDocument/2006/relationships/ctrlProp" Target="../ctrlProps/ctrlProp1334.xml"/><Relationship Id="rId30" Type="http://schemas.openxmlformats.org/officeDocument/2006/relationships/ctrlProp" Target="../ctrlProps/ctrlProp1350.xml"/><Relationship Id="rId35" Type="http://schemas.openxmlformats.org/officeDocument/2006/relationships/ctrlProp" Target="../ctrlProps/ctrlProp1355.xml"/><Relationship Id="rId56" Type="http://schemas.openxmlformats.org/officeDocument/2006/relationships/ctrlProp" Target="../ctrlProps/ctrlProp1376.xml"/><Relationship Id="rId77" Type="http://schemas.openxmlformats.org/officeDocument/2006/relationships/ctrlProp" Target="../ctrlProps/ctrlProp1397.xml"/><Relationship Id="rId100" Type="http://schemas.openxmlformats.org/officeDocument/2006/relationships/ctrlProp" Target="../ctrlProps/ctrlProp1420.xml"/><Relationship Id="rId105" Type="http://schemas.openxmlformats.org/officeDocument/2006/relationships/ctrlProp" Target="../ctrlProps/ctrlProp1425.xml"/><Relationship Id="rId126" Type="http://schemas.openxmlformats.org/officeDocument/2006/relationships/ctrlProp" Target="../ctrlProps/ctrlProp1446.xml"/><Relationship Id="rId147" Type="http://schemas.openxmlformats.org/officeDocument/2006/relationships/ctrlProp" Target="../ctrlProps/ctrlProp1467.xml"/><Relationship Id="rId168" Type="http://schemas.openxmlformats.org/officeDocument/2006/relationships/ctrlProp" Target="../ctrlProps/ctrlProp1488.xml"/><Relationship Id="rId8" Type="http://schemas.openxmlformats.org/officeDocument/2006/relationships/ctrlProp" Target="../ctrlProps/ctrlProp1328.xml"/><Relationship Id="rId51" Type="http://schemas.openxmlformats.org/officeDocument/2006/relationships/ctrlProp" Target="../ctrlProps/ctrlProp1371.xml"/><Relationship Id="rId72" Type="http://schemas.openxmlformats.org/officeDocument/2006/relationships/ctrlProp" Target="../ctrlProps/ctrlProp1392.xml"/><Relationship Id="rId93" Type="http://schemas.openxmlformats.org/officeDocument/2006/relationships/ctrlProp" Target="../ctrlProps/ctrlProp1413.xml"/><Relationship Id="rId98" Type="http://schemas.openxmlformats.org/officeDocument/2006/relationships/ctrlProp" Target="../ctrlProps/ctrlProp1418.xml"/><Relationship Id="rId121" Type="http://schemas.openxmlformats.org/officeDocument/2006/relationships/ctrlProp" Target="../ctrlProps/ctrlProp1441.xml"/><Relationship Id="rId142" Type="http://schemas.openxmlformats.org/officeDocument/2006/relationships/ctrlProp" Target="../ctrlProps/ctrlProp1462.xml"/><Relationship Id="rId163" Type="http://schemas.openxmlformats.org/officeDocument/2006/relationships/ctrlProp" Target="../ctrlProps/ctrlProp1483.xml"/><Relationship Id="rId184" Type="http://schemas.openxmlformats.org/officeDocument/2006/relationships/ctrlProp" Target="../ctrlProps/ctrlProp1504.xml"/><Relationship Id="rId189" Type="http://schemas.openxmlformats.org/officeDocument/2006/relationships/ctrlProp" Target="../ctrlProps/ctrlProp1509.xml"/><Relationship Id="rId3" Type="http://schemas.openxmlformats.org/officeDocument/2006/relationships/vmlDrawing" Target="../drawings/vmlDrawing21.vml"/><Relationship Id="rId25" Type="http://schemas.openxmlformats.org/officeDocument/2006/relationships/ctrlProp" Target="../ctrlProps/ctrlProp1345.xml"/><Relationship Id="rId46" Type="http://schemas.openxmlformats.org/officeDocument/2006/relationships/ctrlProp" Target="../ctrlProps/ctrlProp1366.xml"/><Relationship Id="rId67" Type="http://schemas.openxmlformats.org/officeDocument/2006/relationships/ctrlProp" Target="../ctrlProps/ctrlProp1387.xml"/><Relationship Id="rId116" Type="http://schemas.openxmlformats.org/officeDocument/2006/relationships/ctrlProp" Target="../ctrlProps/ctrlProp1436.xml"/><Relationship Id="rId137" Type="http://schemas.openxmlformats.org/officeDocument/2006/relationships/ctrlProp" Target="../ctrlProps/ctrlProp1457.xml"/><Relationship Id="rId158" Type="http://schemas.openxmlformats.org/officeDocument/2006/relationships/ctrlProp" Target="../ctrlProps/ctrlProp1478.xml"/><Relationship Id="rId20" Type="http://schemas.openxmlformats.org/officeDocument/2006/relationships/ctrlProp" Target="../ctrlProps/ctrlProp1340.xml"/><Relationship Id="rId41" Type="http://schemas.openxmlformats.org/officeDocument/2006/relationships/ctrlProp" Target="../ctrlProps/ctrlProp1361.xml"/><Relationship Id="rId62" Type="http://schemas.openxmlformats.org/officeDocument/2006/relationships/ctrlProp" Target="../ctrlProps/ctrlProp1382.xml"/><Relationship Id="rId83" Type="http://schemas.openxmlformats.org/officeDocument/2006/relationships/ctrlProp" Target="../ctrlProps/ctrlProp1403.xml"/><Relationship Id="rId88" Type="http://schemas.openxmlformats.org/officeDocument/2006/relationships/ctrlProp" Target="../ctrlProps/ctrlProp1408.xml"/><Relationship Id="rId111" Type="http://schemas.openxmlformats.org/officeDocument/2006/relationships/ctrlProp" Target="../ctrlProps/ctrlProp1431.xml"/><Relationship Id="rId132" Type="http://schemas.openxmlformats.org/officeDocument/2006/relationships/ctrlProp" Target="../ctrlProps/ctrlProp1452.xml"/><Relationship Id="rId153" Type="http://schemas.openxmlformats.org/officeDocument/2006/relationships/ctrlProp" Target="../ctrlProps/ctrlProp1473.xml"/><Relationship Id="rId174" Type="http://schemas.openxmlformats.org/officeDocument/2006/relationships/ctrlProp" Target="../ctrlProps/ctrlProp1494.xml"/><Relationship Id="rId179" Type="http://schemas.openxmlformats.org/officeDocument/2006/relationships/ctrlProp" Target="../ctrlProps/ctrlProp1499.xml"/><Relationship Id="rId195" Type="http://schemas.openxmlformats.org/officeDocument/2006/relationships/ctrlProp" Target="../ctrlProps/ctrlProp1515.xml"/><Relationship Id="rId190" Type="http://schemas.openxmlformats.org/officeDocument/2006/relationships/ctrlProp" Target="../ctrlProps/ctrlProp1510.xml"/><Relationship Id="rId15" Type="http://schemas.openxmlformats.org/officeDocument/2006/relationships/ctrlProp" Target="../ctrlProps/ctrlProp1335.xml"/><Relationship Id="rId36" Type="http://schemas.openxmlformats.org/officeDocument/2006/relationships/ctrlProp" Target="../ctrlProps/ctrlProp1356.xml"/><Relationship Id="rId57" Type="http://schemas.openxmlformats.org/officeDocument/2006/relationships/ctrlProp" Target="../ctrlProps/ctrlProp1377.xml"/><Relationship Id="rId106" Type="http://schemas.openxmlformats.org/officeDocument/2006/relationships/ctrlProp" Target="../ctrlProps/ctrlProp1426.xml"/><Relationship Id="rId127" Type="http://schemas.openxmlformats.org/officeDocument/2006/relationships/ctrlProp" Target="../ctrlProps/ctrlProp1447.xml"/><Relationship Id="rId10" Type="http://schemas.openxmlformats.org/officeDocument/2006/relationships/ctrlProp" Target="../ctrlProps/ctrlProp1330.xml"/><Relationship Id="rId31" Type="http://schemas.openxmlformats.org/officeDocument/2006/relationships/ctrlProp" Target="../ctrlProps/ctrlProp1351.xml"/><Relationship Id="rId52" Type="http://schemas.openxmlformats.org/officeDocument/2006/relationships/ctrlProp" Target="../ctrlProps/ctrlProp1372.xml"/><Relationship Id="rId73" Type="http://schemas.openxmlformats.org/officeDocument/2006/relationships/ctrlProp" Target="../ctrlProps/ctrlProp1393.xml"/><Relationship Id="rId78" Type="http://schemas.openxmlformats.org/officeDocument/2006/relationships/ctrlProp" Target="../ctrlProps/ctrlProp1398.xml"/><Relationship Id="rId94" Type="http://schemas.openxmlformats.org/officeDocument/2006/relationships/ctrlProp" Target="../ctrlProps/ctrlProp1414.xml"/><Relationship Id="rId99" Type="http://schemas.openxmlformats.org/officeDocument/2006/relationships/ctrlProp" Target="../ctrlProps/ctrlProp1419.xml"/><Relationship Id="rId101" Type="http://schemas.openxmlformats.org/officeDocument/2006/relationships/ctrlProp" Target="../ctrlProps/ctrlProp1421.xml"/><Relationship Id="rId122" Type="http://schemas.openxmlformats.org/officeDocument/2006/relationships/ctrlProp" Target="../ctrlProps/ctrlProp1442.xml"/><Relationship Id="rId143" Type="http://schemas.openxmlformats.org/officeDocument/2006/relationships/ctrlProp" Target="../ctrlProps/ctrlProp1463.xml"/><Relationship Id="rId148" Type="http://schemas.openxmlformats.org/officeDocument/2006/relationships/ctrlProp" Target="../ctrlProps/ctrlProp1468.xml"/><Relationship Id="rId164" Type="http://schemas.openxmlformats.org/officeDocument/2006/relationships/ctrlProp" Target="../ctrlProps/ctrlProp1484.xml"/><Relationship Id="rId169" Type="http://schemas.openxmlformats.org/officeDocument/2006/relationships/ctrlProp" Target="../ctrlProps/ctrlProp1489.xml"/><Relationship Id="rId185" Type="http://schemas.openxmlformats.org/officeDocument/2006/relationships/ctrlProp" Target="../ctrlProps/ctrlProp1505.xml"/><Relationship Id="rId4" Type="http://schemas.openxmlformats.org/officeDocument/2006/relationships/ctrlProp" Target="../ctrlProps/ctrlProp1324.xml"/><Relationship Id="rId9" Type="http://schemas.openxmlformats.org/officeDocument/2006/relationships/ctrlProp" Target="../ctrlProps/ctrlProp1329.xml"/><Relationship Id="rId180" Type="http://schemas.openxmlformats.org/officeDocument/2006/relationships/ctrlProp" Target="../ctrlProps/ctrlProp1500.xml"/><Relationship Id="rId26" Type="http://schemas.openxmlformats.org/officeDocument/2006/relationships/ctrlProp" Target="../ctrlProps/ctrlProp1346.xml"/><Relationship Id="rId47" Type="http://schemas.openxmlformats.org/officeDocument/2006/relationships/ctrlProp" Target="../ctrlProps/ctrlProp1367.xml"/><Relationship Id="rId68" Type="http://schemas.openxmlformats.org/officeDocument/2006/relationships/ctrlProp" Target="../ctrlProps/ctrlProp1388.xml"/><Relationship Id="rId89" Type="http://schemas.openxmlformats.org/officeDocument/2006/relationships/ctrlProp" Target="../ctrlProps/ctrlProp1409.xml"/><Relationship Id="rId112" Type="http://schemas.openxmlformats.org/officeDocument/2006/relationships/ctrlProp" Target="../ctrlProps/ctrlProp1432.xml"/><Relationship Id="rId133" Type="http://schemas.openxmlformats.org/officeDocument/2006/relationships/ctrlProp" Target="../ctrlProps/ctrlProp1453.xml"/><Relationship Id="rId154" Type="http://schemas.openxmlformats.org/officeDocument/2006/relationships/ctrlProp" Target="../ctrlProps/ctrlProp1474.xml"/><Relationship Id="rId175" Type="http://schemas.openxmlformats.org/officeDocument/2006/relationships/ctrlProp" Target="../ctrlProps/ctrlProp1495.xml"/><Relationship Id="rId16" Type="http://schemas.openxmlformats.org/officeDocument/2006/relationships/ctrlProp" Target="../ctrlProps/ctrlProp1336.xml"/><Relationship Id="rId37" Type="http://schemas.openxmlformats.org/officeDocument/2006/relationships/ctrlProp" Target="../ctrlProps/ctrlProp1357.xml"/><Relationship Id="rId58" Type="http://schemas.openxmlformats.org/officeDocument/2006/relationships/ctrlProp" Target="../ctrlProps/ctrlProp1378.xml"/><Relationship Id="rId79" Type="http://schemas.openxmlformats.org/officeDocument/2006/relationships/ctrlProp" Target="../ctrlProps/ctrlProp1399.xml"/><Relationship Id="rId102" Type="http://schemas.openxmlformats.org/officeDocument/2006/relationships/ctrlProp" Target="../ctrlProps/ctrlProp1422.xml"/><Relationship Id="rId123" Type="http://schemas.openxmlformats.org/officeDocument/2006/relationships/ctrlProp" Target="../ctrlProps/ctrlProp1443.xml"/><Relationship Id="rId144" Type="http://schemas.openxmlformats.org/officeDocument/2006/relationships/ctrlProp" Target="../ctrlProps/ctrlProp1464.xml"/><Relationship Id="rId90" Type="http://schemas.openxmlformats.org/officeDocument/2006/relationships/ctrlProp" Target="../ctrlProps/ctrlProp1410.xml"/><Relationship Id="rId165" Type="http://schemas.openxmlformats.org/officeDocument/2006/relationships/ctrlProp" Target="../ctrlProps/ctrlProp1485.xml"/><Relationship Id="rId186" Type="http://schemas.openxmlformats.org/officeDocument/2006/relationships/ctrlProp" Target="../ctrlProps/ctrlProp1506.xml"/><Relationship Id="rId27" Type="http://schemas.openxmlformats.org/officeDocument/2006/relationships/ctrlProp" Target="../ctrlProps/ctrlProp1347.xml"/><Relationship Id="rId48" Type="http://schemas.openxmlformats.org/officeDocument/2006/relationships/ctrlProp" Target="../ctrlProps/ctrlProp1368.xml"/><Relationship Id="rId69" Type="http://schemas.openxmlformats.org/officeDocument/2006/relationships/ctrlProp" Target="../ctrlProps/ctrlProp1389.xml"/><Relationship Id="rId113" Type="http://schemas.openxmlformats.org/officeDocument/2006/relationships/ctrlProp" Target="../ctrlProps/ctrlProp1433.xml"/><Relationship Id="rId134" Type="http://schemas.openxmlformats.org/officeDocument/2006/relationships/ctrlProp" Target="../ctrlProps/ctrlProp1454.xml"/><Relationship Id="rId80" Type="http://schemas.openxmlformats.org/officeDocument/2006/relationships/ctrlProp" Target="../ctrlProps/ctrlProp1400.xml"/><Relationship Id="rId155" Type="http://schemas.openxmlformats.org/officeDocument/2006/relationships/ctrlProp" Target="../ctrlProps/ctrlProp1475.xml"/><Relationship Id="rId176" Type="http://schemas.openxmlformats.org/officeDocument/2006/relationships/ctrlProp" Target="../ctrlProps/ctrlProp1496.xml"/><Relationship Id="rId17" Type="http://schemas.openxmlformats.org/officeDocument/2006/relationships/ctrlProp" Target="../ctrlProps/ctrlProp1337.xml"/><Relationship Id="rId38" Type="http://schemas.openxmlformats.org/officeDocument/2006/relationships/ctrlProp" Target="../ctrlProps/ctrlProp1358.xml"/><Relationship Id="rId59" Type="http://schemas.openxmlformats.org/officeDocument/2006/relationships/ctrlProp" Target="../ctrlProps/ctrlProp1379.xml"/><Relationship Id="rId103" Type="http://schemas.openxmlformats.org/officeDocument/2006/relationships/ctrlProp" Target="../ctrlProps/ctrlProp1423.xml"/><Relationship Id="rId124" Type="http://schemas.openxmlformats.org/officeDocument/2006/relationships/ctrlProp" Target="../ctrlProps/ctrlProp1444.xml"/><Relationship Id="rId70" Type="http://schemas.openxmlformats.org/officeDocument/2006/relationships/ctrlProp" Target="../ctrlProps/ctrlProp1390.xml"/><Relationship Id="rId91" Type="http://schemas.openxmlformats.org/officeDocument/2006/relationships/ctrlProp" Target="../ctrlProps/ctrlProp1411.xml"/><Relationship Id="rId145" Type="http://schemas.openxmlformats.org/officeDocument/2006/relationships/ctrlProp" Target="../ctrlProps/ctrlProp1465.xml"/><Relationship Id="rId166" Type="http://schemas.openxmlformats.org/officeDocument/2006/relationships/ctrlProp" Target="../ctrlProps/ctrlProp1486.xml"/><Relationship Id="rId187" Type="http://schemas.openxmlformats.org/officeDocument/2006/relationships/ctrlProp" Target="../ctrlProps/ctrlProp1507.xml"/><Relationship Id="rId1" Type="http://schemas.openxmlformats.org/officeDocument/2006/relationships/printerSettings" Target="../printerSettings/printerSettings32.bin"/><Relationship Id="rId28" Type="http://schemas.openxmlformats.org/officeDocument/2006/relationships/ctrlProp" Target="../ctrlProps/ctrlProp1348.xml"/><Relationship Id="rId49" Type="http://schemas.openxmlformats.org/officeDocument/2006/relationships/ctrlProp" Target="../ctrlProps/ctrlProp1369.xml"/><Relationship Id="rId114" Type="http://schemas.openxmlformats.org/officeDocument/2006/relationships/ctrlProp" Target="../ctrlProps/ctrlProp1434.xml"/><Relationship Id="rId60" Type="http://schemas.openxmlformats.org/officeDocument/2006/relationships/ctrlProp" Target="../ctrlProps/ctrlProp1380.xml"/><Relationship Id="rId81" Type="http://schemas.openxmlformats.org/officeDocument/2006/relationships/ctrlProp" Target="../ctrlProps/ctrlProp1401.xml"/><Relationship Id="rId135" Type="http://schemas.openxmlformats.org/officeDocument/2006/relationships/ctrlProp" Target="../ctrlProps/ctrlProp1455.xml"/><Relationship Id="rId156" Type="http://schemas.openxmlformats.org/officeDocument/2006/relationships/ctrlProp" Target="../ctrlProps/ctrlProp1476.xml"/><Relationship Id="rId177" Type="http://schemas.openxmlformats.org/officeDocument/2006/relationships/ctrlProp" Target="../ctrlProps/ctrlProp1497.xml"/><Relationship Id="rId18" Type="http://schemas.openxmlformats.org/officeDocument/2006/relationships/ctrlProp" Target="../ctrlProps/ctrlProp1338.xml"/><Relationship Id="rId39" Type="http://schemas.openxmlformats.org/officeDocument/2006/relationships/ctrlProp" Target="../ctrlProps/ctrlProp1359.xml"/></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3" Type="http://schemas.openxmlformats.org/officeDocument/2006/relationships/ctrlProp" Target="../ctrlProps/ctrlProp1525.xml"/><Relationship Id="rId18" Type="http://schemas.openxmlformats.org/officeDocument/2006/relationships/ctrlProp" Target="../ctrlProps/ctrlProp1530.xml"/><Relationship Id="rId26" Type="http://schemas.openxmlformats.org/officeDocument/2006/relationships/ctrlProp" Target="../ctrlProps/ctrlProp1538.xml"/><Relationship Id="rId3" Type="http://schemas.openxmlformats.org/officeDocument/2006/relationships/vmlDrawing" Target="../drawings/vmlDrawing22.vml"/><Relationship Id="rId21" Type="http://schemas.openxmlformats.org/officeDocument/2006/relationships/ctrlProp" Target="../ctrlProps/ctrlProp1533.xml"/><Relationship Id="rId7" Type="http://schemas.openxmlformats.org/officeDocument/2006/relationships/ctrlProp" Target="../ctrlProps/ctrlProp1519.xml"/><Relationship Id="rId12" Type="http://schemas.openxmlformats.org/officeDocument/2006/relationships/ctrlProp" Target="../ctrlProps/ctrlProp1524.xml"/><Relationship Id="rId17" Type="http://schemas.openxmlformats.org/officeDocument/2006/relationships/ctrlProp" Target="../ctrlProps/ctrlProp1529.xml"/><Relationship Id="rId25" Type="http://schemas.openxmlformats.org/officeDocument/2006/relationships/ctrlProp" Target="../ctrlProps/ctrlProp1537.xml"/><Relationship Id="rId33" Type="http://schemas.openxmlformats.org/officeDocument/2006/relationships/comments" Target="../comments9.xml"/><Relationship Id="rId2" Type="http://schemas.openxmlformats.org/officeDocument/2006/relationships/drawing" Target="../drawings/drawing31.xml"/><Relationship Id="rId16" Type="http://schemas.openxmlformats.org/officeDocument/2006/relationships/ctrlProp" Target="../ctrlProps/ctrlProp1528.xml"/><Relationship Id="rId20" Type="http://schemas.openxmlformats.org/officeDocument/2006/relationships/ctrlProp" Target="../ctrlProps/ctrlProp1532.xml"/><Relationship Id="rId29" Type="http://schemas.openxmlformats.org/officeDocument/2006/relationships/ctrlProp" Target="../ctrlProps/ctrlProp1541.xml"/><Relationship Id="rId1" Type="http://schemas.openxmlformats.org/officeDocument/2006/relationships/printerSettings" Target="../printerSettings/printerSettings35.bin"/><Relationship Id="rId6" Type="http://schemas.openxmlformats.org/officeDocument/2006/relationships/ctrlProp" Target="../ctrlProps/ctrlProp1518.xml"/><Relationship Id="rId11" Type="http://schemas.openxmlformats.org/officeDocument/2006/relationships/ctrlProp" Target="../ctrlProps/ctrlProp1523.xml"/><Relationship Id="rId24" Type="http://schemas.openxmlformats.org/officeDocument/2006/relationships/ctrlProp" Target="../ctrlProps/ctrlProp1536.xml"/><Relationship Id="rId32" Type="http://schemas.openxmlformats.org/officeDocument/2006/relationships/ctrlProp" Target="../ctrlProps/ctrlProp1544.xml"/><Relationship Id="rId5" Type="http://schemas.openxmlformats.org/officeDocument/2006/relationships/ctrlProp" Target="../ctrlProps/ctrlProp1517.xml"/><Relationship Id="rId15" Type="http://schemas.openxmlformats.org/officeDocument/2006/relationships/ctrlProp" Target="../ctrlProps/ctrlProp1527.xml"/><Relationship Id="rId23" Type="http://schemas.openxmlformats.org/officeDocument/2006/relationships/ctrlProp" Target="../ctrlProps/ctrlProp1535.xml"/><Relationship Id="rId28" Type="http://schemas.openxmlformats.org/officeDocument/2006/relationships/ctrlProp" Target="../ctrlProps/ctrlProp1540.xml"/><Relationship Id="rId10" Type="http://schemas.openxmlformats.org/officeDocument/2006/relationships/ctrlProp" Target="../ctrlProps/ctrlProp1522.xml"/><Relationship Id="rId19" Type="http://schemas.openxmlformats.org/officeDocument/2006/relationships/ctrlProp" Target="../ctrlProps/ctrlProp1531.xml"/><Relationship Id="rId31" Type="http://schemas.openxmlformats.org/officeDocument/2006/relationships/ctrlProp" Target="../ctrlProps/ctrlProp1543.xml"/><Relationship Id="rId4" Type="http://schemas.openxmlformats.org/officeDocument/2006/relationships/ctrlProp" Target="../ctrlProps/ctrlProp1516.xml"/><Relationship Id="rId9" Type="http://schemas.openxmlformats.org/officeDocument/2006/relationships/ctrlProp" Target="../ctrlProps/ctrlProp1521.xml"/><Relationship Id="rId14" Type="http://schemas.openxmlformats.org/officeDocument/2006/relationships/ctrlProp" Target="../ctrlProps/ctrlProp1526.xml"/><Relationship Id="rId22" Type="http://schemas.openxmlformats.org/officeDocument/2006/relationships/ctrlProp" Target="../ctrlProps/ctrlProp1534.xml"/><Relationship Id="rId27" Type="http://schemas.openxmlformats.org/officeDocument/2006/relationships/ctrlProp" Target="../ctrlProps/ctrlProp1539.xml"/><Relationship Id="rId30" Type="http://schemas.openxmlformats.org/officeDocument/2006/relationships/ctrlProp" Target="../ctrlProps/ctrlProp1542.xml"/><Relationship Id="rId8" Type="http://schemas.openxmlformats.org/officeDocument/2006/relationships/ctrlProp" Target="../ctrlProps/ctrlProp1520.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customProperty" Target="../customProperty5.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34.xml"/><Relationship Id="rId7" Type="http://schemas.openxmlformats.org/officeDocument/2006/relationships/ctrlProp" Target="../ctrlProps/ctrlProp1547.xml"/><Relationship Id="rId2" Type="http://schemas.openxmlformats.org/officeDocument/2006/relationships/customProperty" Target="../customProperty6.bin"/><Relationship Id="rId1" Type="http://schemas.openxmlformats.org/officeDocument/2006/relationships/printerSettings" Target="../printerSettings/printerSettings43.bin"/><Relationship Id="rId6" Type="http://schemas.openxmlformats.org/officeDocument/2006/relationships/ctrlProp" Target="../ctrlProps/ctrlProp1546.xml"/><Relationship Id="rId5" Type="http://schemas.openxmlformats.org/officeDocument/2006/relationships/ctrlProp" Target="../ctrlProps/ctrlProp1545.xml"/><Relationship Id="rId4" Type="http://schemas.openxmlformats.org/officeDocument/2006/relationships/vmlDrawing" Target="../drawings/vmlDrawing2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35"/>
    <pageSetUpPr autoPageBreaks="0" fitToPage="1"/>
  </sheetPr>
  <dimension ref="A1:P31"/>
  <sheetViews>
    <sheetView showGridLines="0" showRowColHeaders="0" tabSelected="1" zoomScaleNormal="100" workbookViewId="0">
      <selection activeCell="N10" sqref="N10"/>
    </sheetView>
  </sheetViews>
  <sheetFormatPr defaultColWidth="0" defaultRowHeight="14.4" zeroHeight="1"/>
  <cols>
    <col min="1" max="2" width="11.6640625" customWidth="1"/>
    <col min="3" max="4" width="3.6640625" customWidth="1"/>
    <col min="5" max="5" width="4.21875" customWidth="1"/>
    <col min="6" max="6" width="3.6640625" customWidth="1"/>
    <col min="7" max="15" width="11.6640625" customWidth="1"/>
    <col min="16" max="16" width="3.21875" customWidth="1"/>
    <col min="17" max="16384" width="11.6640625" hidden="1"/>
  </cols>
  <sheetData>
    <row r="1" spans="1:15" ht="21">
      <c r="A1" s="1" t="str">
        <f ca="1">RIGHT(CELL("filename",A1),LEN(CELL("filename",A1))-FIND("]",CELL("filename",A1)))&amp;""</f>
        <v>Cover</v>
      </c>
    </row>
    <row r="2" spans="1:15">
      <c r="A2" s="148" t="str">
        <f>HL_Home</f>
        <v>Go to Table of Contents</v>
      </c>
      <c r="K2" s="77"/>
      <c r="M2" s="77"/>
    </row>
    <row r="3" spans="1:15" ht="12.75" customHeight="1">
      <c r="A3" s="108"/>
      <c r="B3" s="108"/>
      <c r="C3" s="108"/>
      <c r="D3" s="108"/>
      <c r="E3" s="108"/>
      <c r="F3" s="108"/>
      <c r="G3" s="108"/>
      <c r="H3" s="108"/>
      <c r="I3" s="108"/>
      <c r="J3" s="108"/>
      <c r="K3" s="108"/>
      <c r="L3" s="108"/>
      <c r="M3" s="108"/>
      <c r="N3" s="108"/>
      <c r="O3" s="108"/>
    </row>
    <row r="4" spans="1:15" ht="17.399999999999999">
      <c r="L4" s="89" t="s">
        <v>767</v>
      </c>
    </row>
    <row r="5" spans="1:15">
      <c r="L5" s="91" t="s">
        <v>237</v>
      </c>
      <c r="M5" s="667"/>
      <c r="N5" s="667"/>
      <c r="O5" s="667"/>
    </row>
    <row r="6" spans="1:15" ht="33">
      <c r="B6" s="75"/>
      <c r="C6" s="349"/>
      <c r="D6" s="348"/>
      <c r="E6" s="348"/>
      <c r="L6" s="91" t="s">
        <v>238</v>
      </c>
      <c r="M6" s="667"/>
      <c r="N6" s="667"/>
      <c r="O6" s="667"/>
    </row>
    <row r="7" spans="1:15">
      <c r="C7" s="106"/>
      <c r="F7" s="11"/>
      <c r="L7" s="91" t="s">
        <v>239</v>
      </c>
      <c r="M7" s="667"/>
      <c r="N7" s="667"/>
      <c r="O7" s="667"/>
    </row>
    <row r="8" spans="1:15">
      <c r="L8" s="91" t="s">
        <v>240</v>
      </c>
      <c r="M8" s="667"/>
      <c r="N8" s="667"/>
      <c r="O8" s="667"/>
    </row>
    <row r="9" spans="1:15"/>
    <row r="10" spans="1:15" ht="87.6">
      <c r="B10" s="346"/>
      <c r="C10" s="66"/>
      <c r="D10" s="66"/>
      <c r="E10" s="66"/>
      <c r="F10" s="66"/>
      <c r="G10" s="66"/>
      <c r="H10" s="345"/>
      <c r="M10" s="347" t="s">
        <v>612</v>
      </c>
    </row>
    <row r="11" spans="1:15"/>
    <row r="12" spans="1:15">
      <c r="C12" s="668"/>
      <c r="D12" s="668"/>
      <c r="E12" s="668"/>
      <c r="F12" s="668"/>
      <c r="G12" s="668"/>
    </row>
    <row r="13" spans="1:15" ht="15.6">
      <c r="C13" s="92" t="s">
        <v>241</v>
      </c>
    </row>
    <row r="14" spans="1:15" ht="15.6">
      <c r="C14" s="92" t="s">
        <v>270</v>
      </c>
    </row>
    <row r="15" spans="1:15"/>
    <row r="16" spans="1:15"/>
    <row r="17" spans="1:15"/>
    <row r="18" spans="1:15" ht="18">
      <c r="C18" s="8" t="str">
        <f>"Seasonal Influenza Immunization Costing Tool (SIICT)  - "&amp;Err_Chks_Msg&amp;Sens_Chks_Msg&amp;Alt_Chks_Msg&amp;HL_FLU_Label_Location_Name_1</f>
        <v>Seasonal Influenza Immunization Costing Tool (SIICT)  - Test Country</v>
      </c>
    </row>
    <row r="19" spans="1:15" ht="15.6">
      <c r="D19" s="92" t="s">
        <v>272</v>
      </c>
    </row>
    <row r="20" spans="1:15"/>
    <row r="21" spans="1:15" ht="17.399999999999999">
      <c r="F21" s="89" t="s">
        <v>243</v>
      </c>
    </row>
    <row r="22" spans="1:15">
      <c r="H22" s="91" t="s">
        <v>230</v>
      </c>
      <c r="I22" s="350" t="s">
        <v>897</v>
      </c>
    </row>
    <row r="23" spans="1:15">
      <c r="H23" s="91" t="s">
        <v>231</v>
      </c>
      <c r="I23" s="91" t="s">
        <v>875</v>
      </c>
      <c r="J23" s="86"/>
    </row>
    <row r="24" spans="1:15">
      <c r="H24" s="91"/>
      <c r="I24" s="91"/>
    </row>
    <row r="25" spans="1:15">
      <c r="H25" s="91" t="s">
        <v>233</v>
      </c>
      <c r="I25" s="661">
        <v>45238</v>
      </c>
      <c r="J25" s="88" t="s">
        <v>236</v>
      </c>
    </row>
    <row r="26" spans="1:15">
      <c r="F26" s="91"/>
      <c r="G26" s="93"/>
    </row>
    <row r="27" spans="1:15" ht="12" customHeight="1">
      <c r="A27" s="108"/>
      <c r="B27" s="108"/>
      <c r="C27" s="108"/>
      <c r="D27" s="108"/>
      <c r="E27" s="108"/>
      <c r="F27" s="108"/>
      <c r="G27" s="108"/>
      <c r="H27" s="108"/>
      <c r="I27" s="108"/>
      <c r="J27" s="108"/>
      <c r="K27" s="108"/>
      <c r="L27" s="108"/>
      <c r="M27" s="108"/>
      <c r="N27" s="108"/>
      <c r="O27" s="108"/>
    </row>
    <row r="28" spans="1:15">
      <c r="M28" s="88" t="s">
        <v>242</v>
      </c>
      <c r="N28" s="665" t="s">
        <v>893</v>
      </c>
    </row>
    <row r="29" spans="1:15">
      <c r="A29" s="91" t="s">
        <v>232</v>
      </c>
      <c r="B29" s="80" t="str">
        <f ca="1">IF(ISERROR(LEFT(CELL("filename",$C$2),FIND("[",CELL("filename",$C$2))-1)&amp;MID(CELL("filename",$C$2),FIND("[",CELL("filename",$C$2))+1,FIND("]",CELL("filename",$C$2))-FIND("[",CELL("filename",$C$2))-1)),"This workbook never saved",LEFT(CELL("filename",$C$2),FIND("[",CELL("filename",$C$2))-1)&amp;MID(CELL("filename",$C$2),FIND("[",CELL("filename",$C$2))+1,FIND("]",CELL("filename",$C$2))-FIND("[",CELL("filename",$C$2))-1))</f>
        <v>C:\Users\ChristinaBanks\ThinkWell\TW - Storage\2. Programs\Global_Gates Hub\3. Community of practice\4. Website and social media\2. Resource landing pages\Tools\Copy of SIICT_v1.2.2_User_Version _November_2023 (002).xlsx</v>
      </c>
    </row>
    <row r="30" spans="1:15">
      <c r="C30" s="2"/>
      <c r="J30" s="91" t="s">
        <v>234</v>
      </c>
      <c r="K30" s="76">
        <f ca="1">NOW()</f>
        <v>45238.552991666664</v>
      </c>
      <c r="L30" s="88" t="s">
        <v>235</v>
      </c>
    </row>
    <row r="31" spans="1:15"/>
  </sheetData>
  <mergeCells count="5">
    <mergeCell ref="M5:O5"/>
    <mergeCell ref="M6:O6"/>
    <mergeCell ref="M7:O7"/>
    <mergeCell ref="M8:O8"/>
    <mergeCell ref="C12:G12"/>
  </mergeCells>
  <dataValidations count="1">
    <dataValidation type="whole" showDropDown="1" showErrorMessage="1" errorTitle="Drop Down Box Cell Link" error="The value in a drop down box cell link must be a whole number within the control's lookup range rows." sqref="J23" xr:uid="{00000000-0002-0000-0000-000000000000}">
      <formula1>1</formula1>
      <formula2>ROWS(LU_FLU_Model_Sub_Version)</formula2>
    </dataValidation>
  </dataValidations>
  <hyperlinks>
    <hyperlink ref="A2" location="HL_Home" tooltip="Table of Contents" display="HL_Home" xr:uid="{00000000-0004-0000-0000-000000000000}"/>
    <hyperlink ref="M10" location="HL_HOME2" tooltip="Go to Home Page" display="Go to Home Page" xr:uid="{00000000-0004-0000-0000-000001000000}"/>
    <hyperlink ref="N28" r:id="rId1" xr:uid="{4EB9427A-3D00-4A32-A926-E4004DB4DC51}"/>
  </hyperlinks>
  <pageMargins left="0.4" right="0.4" top="0.6" bottom="1" header="0" footer="0.3"/>
  <pageSetup orientation="landscape" horizontalDpi="4294967292" verticalDpi="0" r:id="rId2"/>
  <customProperties>
    <customPr name="LastActive"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10"/>
    <pageSetUpPr autoPageBreaks="0" fitToPage="1"/>
  </sheetPr>
  <dimension ref="C9:G22"/>
  <sheetViews>
    <sheetView showGridLines="0" zoomScaleNormal="100" workbookViewId="0"/>
  </sheetViews>
  <sheetFormatPr defaultColWidth="11.6640625" defaultRowHeight="14.4"/>
  <cols>
    <col min="3" max="6" width="3.6640625" customWidth="1"/>
  </cols>
  <sheetData>
    <row r="9" spans="3:7" ht="21">
      <c r="C9" s="56" t="s">
        <v>193</v>
      </c>
    </row>
    <row r="10" spans="3:7" ht="19.8">
      <c r="C10" s="7" t="s">
        <v>22</v>
      </c>
    </row>
    <row r="11" spans="3:7" ht="18">
      <c r="C11" s="4" t="str">
        <f>Model_Name</f>
        <v>Seasonal Influenza Immunization Costing Tool (SIICT)  - Test Country</v>
      </c>
    </row>
    <row r="12" spans="3:7">
      <c r="C12" s="668" t="s">
        <v>1</v>
      </c>
      <c r="D12" s="668"/>
      <c r="E12" s="668"/>
      <c r="F12" s="668"/>
      <c r="G12" s="668"/>
    </row>
    <row r="13" spans="3:7">
      <c r="C13" s="5" t="s">
        <v>4</v>
      </c>
      <c r="D13" s="6" t="s">
        <v>5</v>
      </c>
    </row>
    <row r="17" spans="3:3">
      <c r="C17" s="2"/>
    </row>
    <row r="18" spans="3:3">
      <c r="C18" s="3"/>
    </row>
    <row r="19" spans="3:3">
      <c r="C19" s="148"/>
    </row>
    <row r="20" spans="3:3">
      <c r="C20" s="148"/>
    </row>
    <row r="21" spans="3:3">
      <c r="C21" s="3"/>
    </row>
    <row r="22" spans="3:3">
      <c r="C22" s="3"/>
    </row>
  </sheetData>
  <mergeCells count="1">
    <mergeCell ref="C12:G12"/>
  </mergeCells>
  <hyperlinks>
    <hyperlink ref="D13" location="HL_Sheet_Main_4" tooltip="Go to Next Sheet" display="HL_Sheet_Main_4" xr:uid="{00000000-0004-0000-0900-000002000000}"/>
    <hyperlink ref="C13" location="HL_Sheet_Main_15" tooltip="Go to Previous Sheet" display="HL_Sheet_Main_15" xr:uid="{00000000-0004-0000-0900-000003000000}"/>
    <hyperlink ref="C12" location="HL_Home" tooltip="Go to Table of Contents" display="HL_Home" xr:uid="{00000000-0004-0000-0900-000004000000}"/>
  </hyperlinks>
  <pageMargins left="0.4" right="0.4" top="0.6" bottom="1" header="0" footer="0.3"/>
  <pageSetup orientation="landscape" horizontalDpi="4294967292" verticalDpi="0" r:id="rId1"/>
  <headerFooter>
    <oddFooter>&amp;L&amp;F
&amp;A
Printed: &amp;T on &amp;D&amp;C&amp;",Bold"Section 2.
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1">
    <tabColor indexed="62"/>
    <pageSetUpPr autoPageBreaks="0"/>
  </sheetPr>
  <dimension ref="A1:I23"/>
  <sheetViews>
    <sheetView showGridLines="0" zoomScaleNormal="100" workbookViewId="0">
      <pane xSplit="1" ySplit="4" topLeftCell="B5" activePane="bottomRight" state="frozen"/>
      <selection pane="topRight"/>
      <selection pane="bottomLeft"/>
      <selection pane="bottomRight"/>
    </sheetView>
  </sheetViews>
  <sheetFormatPr defaultColWidth="11.6640625" defaultRowHeight="14.4"/>
  <cols>
    <col min="1" max="5" width="3.6640625" style="134" customWidth="1"/>
    <col min="6" max="16384" width="11.6640625" style="134"/>
  </cols>
  <sheetData>
    <row r="1" spans="1:9" ht="50.1" customHeight="1">
      <c r="B1" s="46" t="s">
        <v>346</v>
      </c>
    </row>
    <row r="2" spans="1:9" ht="18">
      <c r="B2" s="47" t="str">
        <f>Model_Name</f>
        <v>Seasonal Influenza Immunization Costing Tool (SIICT)  - Test Country</v>
      </c>
    </row>
    <row r="3" spans="1:9">
      <c r="B3" s="716" t="s">
        <v>1</v>
      </c>
      <c r="C3" s="716"/>
      <c r="D3" s="716"/>
      <c r="E3" s="716"/>
      <c r="F3" s="716"/>
    </row>
    <row r="4" spans="1:9">
      <c r="A4" s="48" t="s">
        <v>3</v>
      </c>
      <c r="B4" s="49" t="s">
        <v>4</v>
      </c>
      <c r="C4" s="50" t="s">
        <v>5</v>
      </c>
      <c r="D4" s="51" t="s">
        <v>25</v>
      </c>
      <c r="E4" s="79" t="s">
        <v>26</v>
      </c>
      <c r="F4" s="52" t="s">
        <v>27</v>
      </c>
    </row>
    <row r="7" spans="1:9" ht="17.399999999999999">
      <c r="A7" s="94" t="s">
        <v>194</v>
      </c>
      <c r="B7" s="15" t="s">
        <v>29</v>
      </c>
    </row>
    <row r="9" spans="1:9" s="23" customFormat="1"/>
    <row r="10" spans="1:9" s="23" customFormat="1"/>
    <row r="11" spans="1:9" ht="15" customHeight="1">
      <c r="C11" s="68" t="s">
        <v>30</v>
      </c>
      <c r="H11" s="717" t="s">
        <v>248</v>
      </c>
      <c r="I11" s="717"/>
    </row>
    <row r="12" spans="1:9" s="23" customFormat="1"/>
    <row r="13" spans="1:9" s="23" customFormat="1">
      <c r="C13" s="152" t="s">
        <v>244</v>
      </c>
      <c r="H13" s="718">
        <v>2018</v>
      </c>
      <c r="I13" s="719"/>
    </row>
    <row r="14" spans="1:9" s="23" customFormat="1" hidden="1">
      <c r="C14" s="152" t="s">
        <v>246</v>
      </c>
      <c r="H14" s="724">
        <v>7</v>
      </c>
      <c r="I14" s="724"/>
    </row>
    <row r="15" spans="1:9" s="23" customFormat="1" ht="14.4" hidden="1" customHeight="1">
      <c r="C15" s="68" t="s">
        <v>32</v>
      </c>
      <c r="H15" s="722">
        <v>12</v>
      </c>
      <c r="I15" s="723"/>
    </row>
    <row r="16" spans="1:9" hidden="1">
      <c r="C16" s="152" t="s">
        <v>245</v>
      </c>
      <c r="H16" s="31">
        <v>12</v>
      </c>
    </row>
    <row r="17" spans="3:9" hidden="1">
      <c r="C17" s="68" t="s">
        <v>192</v>
      </c>
      <c r="H17" s="720" t="s">
        <v>38</v>
      </c>
      <c r="I17" s="721"/>
    </row>
    <row r="19" spans="3:9" ht="15" hidden="1" customHeight="1">
      <c r="C19" s="68" t="s">
        <v>33</v>
      </c>
      <c r="H19" s="714">
        <f>DATE(TS_First_Fin_Yr-1,DD_TS_Fin_Yr_End_Mth+DD_TS_Model_Start_Mth,1)</f>
        <v>43282</v>
      </c>
      <c r="I19" s="714"/>
    </row>
    <row r="20" spans="3:9" ht="15" hidden="1" customHeight="1">
      <c r="C20" s="68" t="s">
        <v>34</v>
      </c>
      <c r="H20" s="714">
        <f>EDATE(TS_Start_Date,TS_Term)-1</f>
        <v>43646</v>
      </c>
      <c r="I20" s="714"/>
    </row>
    <row r="21" spans="3:9" ht="15" hidden="1" customHeight="1">
      <c r="C21" s="68" t="s">
        <v>35</v>
      </c>
      <c r="H21" s="715">
        <f>YEAR(EDATE(TS_End_Date,-DD_TS_Fin_Yr_End_Mth))*TS_Qtrs_In_Yr+ROUNDUP(MONTH(EDATE(TS_End_Date,-DD_TS_Fin_Yr_End_Mth))/TS_Mths_In_Qtr,0)
-(YEAR(EDATE(TS_Start_Date,-DD_TS_Fin_Yr_End_Mth))*TS_Qtrs_In_Yr+ROUNDUP(MONTH(EDATE(TS_Start_Date,-DD_TS_Fin_Yr_End_Mth))/TS_Mths_In_Qtr,0))+1</f>
        <v>4</v>
      </c>
      <c r="I21" s="715"/>
    </row>
    <row r="22" spans="3:9" ht="15" hidden="1" customHeight="1">
      <c r="C22" s="68" t="s">
        <v>36</v>
      </c>
      <c r="H22" s="715">
        <f>YEAR(EDATE(TS_End_Date,-DD_TS_Fin_Yr_End_Mth))*TS_Halves_In_Yr+ROUNDUP(MONTH(EDATE(TS_End_Date,-DD_TS_Fin_Yr_End_Mth))/TS_Mths_In_Half,0)
-(YEAR(EDATE(TS_Start_Date,-DD_TS_Fin_Yr_End_Mth))*TS_Halves_In_Yr+ROUNDUP(MONTH(EDATE(TS_Start_Date,-DD_TS_Fin_Yr_End_Mth))/TS_Mths_In_Half,0))+1</f>
        <v>2</v>
      </c>
      <c r="I22" s="715"/>
    </row>
    <row r="23" spans="3:9" ht="15" hidden="1" customHeight="1">
      <c r="C23" s="68" t="s">
        <v>37</v>
      </c>
      <c r="H23" s="715">
        <f>(YEAR(TS_End_Date)+IF(MONTH(TS_End_Date)&gt;DD_TS_Fin_Yr_End_Mth,1,0))-(YEAR(TS_Start_Date)+IF(MONTH(TS_Start_Date)&gt;DD_TS_Fin_Yr_End_Mth,1,0))+1</f>
        <v>2</v>
      </c>
      <c r="I23" s="715"/>
    </row>
  </sheetData>
  <mergeCells count="11">
    <mergeCell ref="B3:F3"/>
    <mergeCell ref="H11:I11"/>
    <mergeCell ref="H13:I13"/>
    <mergeCell ref="H17:I17"/>
    <mergeCell ref="H15:I15"/>
    <mergeCell ref="H14:I14"/>
    <mergeCell ref="H19:I19"/>
    <mergeCell ref="H20:I20"/>
    <mergeCell ref="H21:I21"/>
    <mergeCell ref="H22:I22"/>
    <mergeCell ref="H23:I23"/>
  </mergeCells>
  <dataValidations count="4">
    <dataValidation type="whole" showDropDown="1" showErrorMessage="1" errorTitle="Drop Down Box Cell Link" error="The value in a drop down box cell link must be a whole number within the control's lookup range rows." sqref="H16" xr:uid="{00000000-0002-0000-0A00-000000000000}">
      <formula1>1</formula1>
      <formula2>ROWS(LU_TS_Mth_Names)</formula2>
    </dataValidation>
    <dataValidation type="whole" operator="greaterThanOrEqual" allowBlank="1" showDropDown="1" showInputMessage="1" showErrorMessage="1" errorTitle="First Financial Year" error="The first financial year must be a whole number greater than or equal to 1904." sqref="H13" xr:uid="{00000000-0002-0000-0A00-000001000000}">
      <formula1>1904</formula1>
    </dataValidation>
    <dataValidation type="whole" operator="greaterThan" allowBlank="1" showDropDown="1" showInputMessage="1" showErrorMessage="1" errorTitle="Term (Months)" error="The term must be a whole number of months greater than zero." sqref="H15" xr:uid="{00000000-0002-0000-0A00-000002000000}">
      <formula1>0</formula1>
    </dataValidation>
    <dataValidation type="whole" showDropDown="1" showErrorMessage="1" errorTitle="Drop Down Box Cell Link" error="The value in a drop down box cell link must be a whole number within the control's lookup range rows." sqref="H14" xr:uid="{00000000-0002-0000-0A00-000003000000}">
      <formula1>1</formula1>
      <formula2>ROWS(LU_TS_Model_Start_Mth)</formula2>
    </dataValidation>
  </dataValidations>
  <hyperlinks>
    <hyperlink ref="A4" location="$B$5" tooltip="Go to Top of Sheet" display="$B$5" xr:uid="{00000000-0004-0000-0A00-000000000000}"/>
    <hyperlink ref="C4" location="HL_Sheet_Main_63" tooltip="Go to Next Sheet" display="HL_Sheet_Main_63" xr:uid="{00000000-0004-0000-0A00-000001000000}"/>
    <hyperlink ref="B4" location="HL_Sheet_Main_46" tooltip="Go to Previous Sheet" display="HL_Sheet_Main_46" xr:uid="{00000000-0004-0000-0A00-000002000000}"/>
    <hyperlink ref="B3" location="HL_Home" tooltip="Go to Table of Contents" display="HL_Home" xr:uid="{00000000-0004-0000-0A00-000003000000}"/>
    <hyperlink ref="D4" location="HL_Err_Chk" tooltip="Go to Error Checks" display="HL_Err_Chk" xr:uid="{00000000-0004-0000-0A00-000004000000}"/>
    <hyperlink ref="E4" location="HL_Sens_Chk" tooltip="Go to Sensitivity Checks" display="HL_Sens_Chk" xr:uid="{00000000-0004-0000-0A00-000005000000}"/>
    <hyperlink ref="F4" location="HL_Alt_Chk" tooltip="Go to Alert Checks" display="HL_Alt_Chk" xr:uid="{00000000-0004-0000-0A00-000006000000}"/>
  </hyperlinks>
  <pageMargins left="0.4" right="0.4" top="0.6" bottom="1" header="0" footer="0.3"/>
  <pageSetup orientation="landscape" horizontalDpi="4294967292" verticalDpi="0" r:id="rId1"/>
  <headerFooter>
    <oddFooter>&amp;L&amp;F
&amp;A
Printed: &amp;T on &amp;D&amp;C&amp;",Bold"Sheet a.
Page &amp;P of &amp;N</oddFooter>
  </headerFooter>
  <customProperties>
    <customPr name="LastActive" r:id="rId2"/>
  </customPropertie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62"/>
    <pageSetUpPr autoPageBreaks="0"/>
  </sheetPr>
  <dimension ref="A1:N27"/>
  <sheetViews>
    <sheetView showGridLines="0" zoomScaleNormal="100" workbookViewId="0">
      <pane xSplit="1" ySplit="9" topLeftCell="B10" activePane="bottomRight" state="frozenSplit"/>
      <selection pane="topRight"/>
      <selection pane="bottomLeft"/>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4" width="15.6640625" style="134" customWidth="1"/>
    <col min="15" max="16384" width="11.6640625" style="134"/>
  </cols>
  <sheetData>
    <row r="1" spans="1:14" ht="50.1" customHeight="1">
      <c r="B1" s="46" t="s">
        <v>441</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ht="17.399999999999999">
      <c r="B12" s="15" t="s">
        <v>441</v>
      </c>
    </row>
    <row r="14" spans="1:14" ht="15.6">
      <c r="C14" s="111" t="s">
        <v>442</v>
      </c>
      <c r="E14" s="23"/>
      <c r="G14" s="152" t="s">
        <v>84</v>
      </c>
      <c r="H14" s="152" t="s">
        <v>429</v>
      </c>
      <c r="I14" s="152" t="s">
        <v>560</v>
      </c>
    </row>
    <row r="15" spans="1:14">
      <c r="D15" s="152" t="s">
        <v>430</v>
      </c>
      <c r="E15" s="23"/>
      <c r="F15" s="151" t="s">
        <v>85</v>
      </c>
      <c r="G15" s="151" t="s">
        <v>80</v>
      </c>
      <c r="H15" s="203">
        <v>2017</v>
      </c>
      <c r="I15" s="166">
        <v>1</v>
      </c>
      <c r="J15" s="43">
        <v>1</v>
      </c>
      <c r="K15" s="23"/>
      <c r="L15" s="23"/>
      <c r="M15" s="23"/>
      <c r="N15" s="23"/>
    </row>
    <row r="16" spans="1:14">
      <c r="D16" s="152" t="s">
        <v>431</v>
      </c>
      <c r="E16" s="23"/>
      <c r="F16" s="151" t="s">
        <v>833</v>
      </c>
      <c r="G16" s="151" t="s">
        <v>834</v>
      </c>
      <c r="H16" s="203">
        <v>2017</v>
      </c>
      <c r="I16" s="64">
        <v>150</v>
      </c>
      <c r="J16" s="204">
        <v>150</v>
      </c>
      <c r="K16" s="23"/>
      <c r="L16" s="23"/>
      <c r="M16" s="23"/>
      <c r="N16" s="23"/>
    </row>
    <row r="17" spans="3:10">
      <c r="J17" s="23"/>
    </row>
    <row r="18" spans="3:10" s="23" customFormat="1"/>
    <row r="19" spans="3:10" ht="15.6">
      <c r="C19" s="111" t="s">
        <v>432</v>
      </c>
      <c r="I19" s="205">
        <v>0.03</v>
      </c>
      <c r="J19" s="119">
        <f>$I19</f>
        <v>0.03</v>
      </c>
    </row>
    <row r="20" spans="3:10" s="23" customFormat="1"/>
    <row r="21" spans="3:10" s="23" customFormat="1" ht="15.6">
      <c r="C21" s="111" t="s">
        <v>433</v>
      </c>
    </row>
    <row r="22" spans="3:10" s="23" customFormat="1"/>
    <row r="23" spans="3:10" s="23" customFormat="1">
      <c r="E23" s="152" t="s">
        <v>250</v>
      </c>
      <c r="F23" s="725" t="s">
        <v>434</v>
      </c>
      <c r="G23" s="725"/>
      <c r="H23" s="152" t="s">
        <v>84</v>
      </c>
    </row>
    <row r="24" spans="3:10" s="23" customFormat="1">
      <c r="E24" s="151" t="s">
        <v>166</v>
      </c>
      <c r="F24" s="667"/>
      <c r="G24" s="667"/>
      <c r="H24" s="151" t="s">
        <v>251</v>
      </c>
    </row>
    <row r="25" spans="3:10" s="23" customFormat="1">
      <c r="E25" s="151" t="s">
        <v>167</v>
      </c>
      <c r="F25" s="667"/>
      <c r="G25" s="667"/>
      <c r="H25" s="151" t="s">
        <v>252</v>
      </c>
    </row>
    <row r="26" spans="3:10" s="23" customFormat="1"/>
    <row r="27" spans="3:10" s="23" customFormat="1" ht="15.6">
      <c r="C27" s="111" t="s">
        <v>853</v>
      </c>
    </row>
  </sheetData>
  <mergeCells count="4">
    <mergeCell ref="B3:E3"/>
    <mergeCell ref="F24:G24"/>
    <mergeCell ref="F25:G25"/>
    <mergeCell ref="F23:G23"/>
  </mergeCells>
  <dataValidations count="2">
    <dataValidation type="custom" showErrorMessage="1" errorTitle="Invalid Assumption" error="Assumption must be a number." sqref="H15:H16 I16:J16" xr:uid="{00000000-0002-0000-0B00-000000000000}">
      <formula1>NOT(ISERROR(H15/1))</formula1>
    </dataValidation>
    <dataValidation type="decimal" showDropDown="1" showErrorMessage="1" errorTitle="Invalid Assumption" error="Assumption must be between 0% and 100%." sqref="I19" xr:uid="{00000000-0002-0000-0B00-000001000000}">
      <formula1>0</formula1>
      <formula2>1</formula2>
    </dataValidation>
  </dataValidations>
  <hyperlinks>
    <hyperlink ref="C4" location="HL_Sheet_Main_22" tooltip="Go to Next Sheet" display="HL_Sheet_Main_22" xr:uid="{00000000-0004-0000-0B00-000000000000}"/>
    <hyperlink ref="B4" location="HL_Sheet_Main_4" tooltip="Go to Previous Sheet" display="HL_Sheet_Main_4" xr:uid="{00000000-0004-0000-0B00-000001000000}"/>
    <hyperlink ref="A4" location="$B$10" tooltip="Go to Top of Sheet" display="$B$10" xr:uid="{00000000-0004-0000-0B00-000002000000}"/>
    <hyperlink ref="B3" location="HL_Home" tooltip="Go to Table of Contents" display="HL_Home" xr:uid="{00000000-0004-0000-0B00-000003000000}"/>
    <hyperlink ref="D4" location="HL_Err_Chk" tooltip="Go to Error Checks" display="HL_Err_Chk" xr:uid="{00000000-0004-0000-0B00-000004000000}"/>
    <hyperlink ref="E4" location="HL_Sens_Chk" tooltip="Go to Sensitivity Checks" display="HL_Sens_Chk" xr:uid="{00000000-0004-0000-0B00-000005000000}"/>
    <hyperlink ref="F4" location="HL_Alt_Chk" tooltip="Go to Alert Checks" display="HL_Alt_Chk" xr:uid="{00000000-0004-0000-0B00-000006000000}"/>
  </hyperlinks>
  <pageMargins left="0.4" right="0.4" top="0.6" bottom="1" header="0" footer="0.3"/>
  <pageSetup orientation="landscape" horizontalDpi="4294967292" verticalDpi="0" r:id="rId1"/>
  <headerFooter>
    <oddFooter>&amp;L&amp;F
&amp;A
Printed: &amp;T on &amp;D&amp;C&amp;",Bold"Sheet b.
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62"/>
    <pageSetUpPr autoPageBreaks="0"/>
  </sheetPr>
  <dimension ref="A1:R33"/>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18" width="11.6640625" style="134" customWidth="1"/>
    <col min="19" max="16384" width="11.6640625" style="134" hidden="1"/>
  </cols>
  <sheetData>
    <row r="1" spans="1:12" ht="50.1" customHeight="1">
      <c r="B1" s="46" t="s">
        <v>568</v>
      </c>
    </row>
    <row r="2" spans="1:12" ht="18">
      <c r="B2" s="47" t="str">
        <f>Model_Name</f>
        <v>Seasonal Influenza Immunization Costing Tool (SIICT)  - Test Country</v>
      </c>
    </row>
    <row r="3" spans="1:12">
      <c r="B3" s="716" t="s">
        <v>1</v>
      </c>
      <c r="C3" s="716"/>
      <c r="D3" s="716"/>
      <c r="E3" s="716"/>
      <c r="F3" s="716"/>
    </row>
    <row r="4" spans="1:12">
      <c r="A4" s="48" t="s">
        <v>3</v>
      </c>
      <c r="B4" s="49" t="s">
        <v>4</v>
      </c>
      <c r="C4" s="50" t="s">
        <v>5</v>
      </c>
      <c r="D4" s="51" t="s">
        <v>25</v>
      </c>
      <c r="E4" s="79" t="s">
        <v>26</v>
      </c>
      <c r="F4" s="52" t="s">
        <v>27</v>
      </c>
    </row>
    <row r="7" spans="1:12" ht="17.399999999999999">
      <c r="B7" s="15" t="s">
        <v>264</v>
      </c>
    </row>
    <row r="9" spans="1:12" s="23" customFormat="1" ht="15" thickBot="1">
      <c r="C9" s="55"/>
      <c r="D9" s="55"/>
      <c r="E9" s="55"/>
      <c r="F9" s="55"/>
      <c r="G9" s="55"/>
      <c r="H9" s="55"/>
      <c r="I9" s="55"/>
      <c r="J9" s="55"/>
      <c r="K9" s="55"/>
      <c r="L9" s="55"/>
    </row>
    <row r="10" spans="1:12" s="23" customFormat="1" ht="15.6">
      <c r="C10" s="111" t="s">
        <v>94</v>
      </c>
    </row>
    <row r="11" spans="1:12" s="23" customFormat="1">
      <c r="D11" s="152" t="s">
        <v>95</v>
      </c>
    </row>
    <row r="12" spans="1:12" s="23" customFormat="1">
      <c r="D12" s="152" t="s">
        <v>96</v>
      </c>
    </row>
    <row r="13" spans="1:12" s="23" customFormat="1">
      <c r="D13" s="152" t="s">
        <v>97</v>
      </c>
    </row>
    <row r="14" spans="1:12" s="23" customFormat="1">
      <c r="D14" s="61"/>
    </row>
    <row r="15" spans="1:12" s="23" customFormat="1" ht="15" thickBot="1">
      <c r="C15" s="55"/>
      <c r="D15" s="55"/>
      <c r="E15" s="55"/>
      <c r="F15" s="55"/>
      <c r="G15" s="55"/>
      <c r="H15" s="55"/>
      <c r="I15" s="55"/>
      <c r="J15" s="55"/>
      <c r="K15" s="55"/>
      <c r="L15" s="55"/>
    </row>
    <row r="16" spans="1:12" s="23" customFormat="1"/>
    <row r="17" spans="3:17" s="23" customFormat="1" ht="17.399999999999999">
      <c r="C17" s="15" t="s">
        <v>285</v>
      </c>
    </row>
    <row r="18" spans="3:17" s="23" customFormat="1"/>
    <row r="19" spans="3:17" s="23" customFormat="1">
      <c r="D19" s="152" t="s">
        <v>821</v>
      </c>
      <c r="J19" s="730" t="s">
        <v>169</v>
      </c>
      <c r="K19" s="730"/>
      <c r="L19" s="730"/>
      <c r="M19" s="730"/>
      <c r="N19" s="730"/>
      <c r="O19" s="730"/>
      <c r="P19" s="730"/>
      <c r="Q19" s="730"/>
    </row>
    <row r="20" spans="3:17" s="23" customFormat="1">
      <c r="D20" s="727" t="s">
        <v>813</v>
      </c>
      <c r="E20" s="728"/>
      <c r="F20" s="728"/>
      <c r="G20" s="728"/>
      <c r="H20" s="729"/>
      <c r="J20" s="667"/>
      <c r="K20" s="667"/>
      <c r="L20" s="667"/>
      <c r="M20" s="667"/>
      <c r="N20" s="667"/>
      <c r="O20" s="667"/>
      <c r="P20" s="667"/>
      <c r="Q20" s="667"/>
    </row>
    <row r="21" spans="3:17" s="23" customFormat="1"/>
    <row r="22" spans="3:17" s="23" customFormat="1"/>
    <row r="23" spans="3:17" s="23" customFormat="1">
      <c r="D23" s="152" t="s">
        <v>822</v>
      </c>
    </row>
    <row r="24" spans="3:17" s="23" customFormat="1">
      <c r="D24" s="730" t="s">
        <v>91</v>
      </c>
      <c r="E24" s="730"/>
      <c r="F24" s="730"/>
      <c r="G24" s="730"/>
      <c r="H24" s="730" t="s">
        <v>114</v>
      </c>
      <c r="I24" s="730"/>
      <c r="J24" s="730" t="s">
        <v>92</v>
      </c>
      <c r="K24" s="730"/>
      <c r="L24" s="730" t="s">
        <v>169</v>
      </c>
      <c r="M24" s="730"/>
      <c r="N24" s="730"/>
      <c r="O24" s="730"/>
      <c r="P24" s="730"/>
      <c r="Q24" s="730"/>
    </row>
    <row r="25" spans="3:17" s="23" customFormat="1">
      <c r="D25" s="726" t="s">
        <v>814</v>
      </c>
      <c r="E25" s="726"/>
      <c r="F25" s="726"/>
      <c r="G25" s="726"/>
      <c r="H25" s="726" t="s">
        <v>115</v>
      </c>
      <c r="I25" s="726"/>
      <c r="J25" s="726" t="s">
        <v>815</v>
      </c>
      <c r="K25" s="726"/>
      <c r="L25" s="726"/>
      <c r="M25" s="726"/>
      <c r="N25" s="726"/>
      <c r="O25" s="726"/>
      <c r="P25" s="726"/>
      <c r="Q25" s="726"/>
    </row>
    <row r="26" spans="3:17" s="23" customFormat="1">
      <c r="D26" s="726" t="s">
        <v>816</v>
      </c>
      <c r="E26" s="726"/>
      <c r="F26" s="726"/>
      <c r="G26" s="726"/>
      <c r="H26" s="726" t="s">
        <v>817</v>
      </c>
      <c r="I26" s="726"/>
      <c r="J26" s="726" t="s">
        <v>818</v>
      </c>
      <c r="K26" s="726"/>
      <c r="L26" s="726"/>
      <c r="M26" s="726"/>
      <c r="N26" s="726"/>
      <c r="O26" s="726"/>
      <c r="P26" s="726"/>
      <c r="Q26" s="726"/>
    </row>
    <row r="27" spans="3:17" s="23" customFormat="1">
      <c r="D27" s="726" t="s">
        <v>819</v>
      </c>
      <c r="E27" s="726"/>
      <c r="F27" s="726"/>
      <c r="G27" s="726"/>
      <c r="H27" s="726" t="s">
        <v>820</v>
      </c>
      <c r="I27" s="726"/>
      <c r="J27" s="726" t="s">
        <v>819</v>
      </c>
      <c r="K27" s="726"/>
      <c r="L27" s="726"/>
      <c r="M27" s="726"/>
      <c r="N27" s="726"/>
      <c r="O27" s="726"/>
      <c r="P27" s="726"/>
      <c r="Q27" s="726"/>
    </row>
    <row r="28" spans="3:17" s="23" customFormat="1"/>
    <row r="29" spans="3:17" s="23" customFormat="1" ht="15" thickBot="1"/>
    <row r="30" spans="3:17" s="23" customFormat="1" ht="15" thickTop="1">
      <c r="C30" s="112"/>
      <c r="D30" s="112"/>
      <c r="E30" s="112"/>
      <c r="F30" s="112"/>
      <c r="G30" s="112"/>
      <c r="H30" s="112"/>
      <c r="I30" s="112"/>
      <c r="J30" s="112"/>
      <c r="K30" s="112"/>
      <c r="L30" s="112"/>
      <c r="M30" s="112"/>
      <c r="N30" s="112"/>
      <c r="O30" s="112"/>
      <c r="P30" s="112"/>
      <c r="Q30" s="112"/>
    </row>
    <row r="31" spans="3:17" s="23" customFormat="1"/>
    <row r="32" spans="3:17" s="23" customFormat="1"/>
    <row r="33" s="23" customFormat="1"/>
  </sheetData>
  <sortState xmlns:xlrd2="http://schemas.microsoft.com/office/spreadsheetml/2017/richdata2" ref="D65:H76">
    <sortCondition ref="D65"/>
  </sortState>
  <mergeCells count="20">
    <mergeCell ref="D27:G27"/>
    <mergeCell ref="H27:I27"/>
    <mergeCell ref="J27:K27"/>
    <mergeCell ref="L27:Q27"/>
    <mergeCell ref="J25:K25"/>
    <mergeCell ref="B3:F3"/>
    <mergeCell ref="J26:K26"/>
    <mergeCell ref="D20:H20"/>
    <mergeCell ref="J19:Q19"/>
    <mergeCell ref="J20:Q20"/>
    <mergeCell ref="D24:G24"/>
    <mergeCell ref="H24:I24"/>
    <mergeCell ref="L24:Q24"/>
    <mergeCell ref="L25:Q25"/>
    <mergeCell ref="D25:G25"/>
    <mergeCell ref="D26:G26"/>
    <mergeCell ref="H25:I25"/>
    <mergeCell ref="H26:I26"/>
    <mergeCell ref="L26:Q26"/>
    <mergeCell ref="J24:K24"/>
  </mergeCells>
  <hyperlinks>
    <hyperlink ref="A4" location="$B$5" tooltip="Go to Top of Sheet" display="$B$5" xr:uid="{00000000-0004-0000-0C00-000000000000}"/>
    <hyperlink ref="B4" location="HL_Sheet_Main_63" tooltip="Go to Previous Sheet" display="HL_Sheet_Main_63" xr:uid="{00000000-0004-0000-0C00-000001000000}"/>
    <hyperlink ref="C4" location="HL_Sheet_Main_21" tooltip="Go to Next Sheet" display="HL_Sheet_Main_21" xr:uid="{00000000-0004-0000-0C00-000002000000}"/>
    <hyperlink ref="B3" location="HL_Home" tooltip="Go to Table of Contents" display="HL_Home" xr:uid="{00000000-0004-0000-0C00-000003000000}"/>
    <hyperlink ref="D4" location="HL_Err_Chk" tooltip="Go to Error Checks" display="HL_Err_Chk" xr:uid="{00000000-0004-0000-0C00-000004000000}"/>
    <hyperlink ref="E4" location="HL_Sens_Chk" tooltip="Go to Sensitivity Checks" display="HL_Sens_Chk" xr:uid="{00000000-0004-0000-0C00-000005000000}"/>
    <hyperlink ref="F4" location="HL_Alt_Chk" tooltip="Go to Alert Checks" display="HL_Alt_Chk" xr:uid="{00000000-0004-0000-0C00-000006000000}"/>
  </hyperlinks>
  <pageMargins left="0.4" right="0.4" top="0.6" bottom="1" header="0" footer="0.3"/>
  <pageSetup orientation="landscape" horizontalDpi="4294967292" verticalDpi="0" r:id="rId1"/>
  <headerFooter>
    <oddFooter>&amp;L&amp;F
&amp;A
Printed: &amp;T on &amp;D&amp;C&amp;",Bold"Sheet c.
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2"/>
    <pageSetUpPr autoPageBreaks="0"/>
  </sheetPr>
  <dimension ref="A1:J146"/>
  <sheetViews>
    <sheetView showGridLines="0" zoomScaleNormal="100" workbookViewId="0">
      <pane xSplit="1" ySplit="9" topLeftCell="B10" activePane="bottomRight" state="frozen"/>
      <selection pane="topRight" activeCell="B1" sqref="B1"/>
      <selection pane="bottomLeft" activeCell="A12" sqref="A12"/>
      <selection pane="bottomRight"/>
    </sheetView>
  </sheetViews>
  <sheetFormatPr defaultColWidth="11.6640625" defaultRowHeight="14.4" outlineLevelRow="2"/>
  <cols>
    <col min="1" max="2" width="3.6640625" style="134" customWidth="1"/>
    <col min="3" max="3" width="5.6640625" style="134" customWidth="1"/>
    <col min="4" max="5" width="3.6640625" style="134" customWidth="1"/>
    <col min="6" max="6" width="45.6640625" style="134" customWidth="1"/>
    <col min="7" max="9" width="14.6640625" style="134" customWidth="1"/>
    <col min="10" max="10" width="15.6640625" style="134" customWidth="1"/>
    <col min="11" max="16384" width="11.6640625" style="134"/>
  </cols>
  <sheetData>
    <row r="1" spans="1:10" ht="50.1" customHeight="1">
      <c r="B1" s="46" t="s">
        <v>424</v>
      </c>
    </row>
    <row r="2" spans="1:10" ht="18">
      <c r="B2" s="47" t="str">
        <f>Model_Name</f>
        <v>Seasonal Influenza Immunization Costing Tool (SIICT)  - Test Country</v>
      </c>
    </row>
    <row r="3" spans="1:10">
      <c r="B3" s="716" t="s">
        <v>1</v>
      </c>
      <c r="C3" s="716"/>
      <c r="D3" s="716"/>
      <c r="E3" s="716"/>
      <c r="F3" s="716"/>
    </row>
    <row r="4" spans="1:10">
      <c r="A4" s="48" t="s">
        <v>3</v>
      </c>
      <c r="B4" s="49" t="s">
        <v>4</v>
      </c>
      <c r="C4" s="50" t="s">
        <v>5</v>
      </c>
      <c r="D4" s="51" t="s">
        <v>25</v>
      </c>
      <c r="E4" s="79" t="s">
        <v>26</v>
      </c>
      <c r="F4" s="52" t="s">
        <v>27</v>
      </c>
    </row>
    <row r="5" spans="1:10">
      <c r="B5" s="103" t="str">
        <f>"Influenza Season Starting "&amp;TS_First_Fin_Yr</f>
        <v>Influenza Season Starting 2018</v>
      </c>
      <c r="C5" s="20"/>
      <c r="D5" s="20"/>
      <c r="E5" s="20"/>
      <c r="F5" s="20"/>
      <c r="G5" s="20"/>
      <c r="H5" s="20"/>
      <c r="I5" s="20"/>
      <c r="J5" s="21" t="str">
        <f>TS_First_Fin_Yr&amp;"-"&amp;(TS_First_Fin_Yr+1)</f>
        <v>2018-2019</v>
      </c>
    </row>
    <row r="6" spans="1:10" hidden="1" outlineLevel="2">
      <c r="B6" s="68" t="s">
        <v>75</v>
      </c>
      <c r="C6" s="12"/>
      <c r="D6" s="12"/>
      <c r="E6" s="12"/>
      <c r="F6" s="12"/>
      <c r="G6" s="12"/>
      <c r="H6" s="12"/>
      <c r="I6" s="12"/>
      <c r="J6" s="19">
        <f>MAX(EDATE(TS_Start_Date,(J8-1)*TS_Mths_In_Yr-MOD(MONTH(TS_Start_Date)-DD_TS_Fin_Yr_End_Mth-1,TS_Mths_In_Yr)),TS_Start_Date)</f>
        <v>43282</v>
      </c>
    </row>
    <row r="7" spans="1:10" hidden="1" outlineLevel="2">
      <c r="B7" s="68" t="s">
        <v>76</v>
      </c>
      <c r="C7" s="12"/>
      <c r="D7" s="12"/>
      <c r="E7" s="12"/>
      <c r="F7" s="12"/>
      <c r="G7" s="12"/>
      <c r="H7" s="12"/>
      <c r="I7" s="12"/>
      <c r="J7" s="19">
        <f>MIN(EOMONTH(TS_Start_Date,J8*TS_Mths_In_Yr-MOD(MONTH(TS_Start_Date)-DD_TS_Fin_Yr_End_Mth-1,TS_Mths_In_Yr)-1),TS_End_Date)</f>
        <v>43465</v>
      </c>
    </row>
    <row r="8" spans="1:10" hidden="1" outlineLevel="2">
      <c r="B8" s="68" t="s">
        <v>77</v>
      </c>
      <c r="C8" s="12"/>
      <c r="D8" s="12"/>
      <c r="E8" s="12"/>
      <c r="F8" s="12"/>
      <c r="G8" s="12"/>
      <c r="H8" s="12"/>
      <c r="I8" s="12"/>
      <c r="J8" s="16">
        <f>COLUMNS($J8:J8)</f>
        <v>1</v>
      </c>
    </row>
    <row r="9" spans="1:10" hidden="1" outlineLevel="2">
      <c r="B9" s="22" t="s">
        <v>78</v>
      </c>
      <c r="C9" s="20"/>
      <c r="D9" s="20"/>
      <c r="E9" s="20"/>
      <c r="F9" s="20"/>
      <c r="G9" s="20"/>
      <c r="H9" s="20"/>
      <c r="I9" s="20"/>
      <c r="J9" s="104">
        <f>YEAR(J7)+IF(MONTH(J7)&gt;DD_TS_Fin_Yr_End_Mth,1,0)</f>
        <v>2018</v>
      </c>
    </row>
    <row r="10" spans="1:10" collapsed="1"/>
    <row r="12" spans="1:10" s="23" customFormat="1" ht="17.399999999999999">
      <c r="B12" s="15" t="s">
        <v>424</v>
      </c>
    </row>
    <row r="13" spans="1:10" s="23" customFormat="1"/>
    <row r="14" spans="1:10" s="23" customFormat="1"/>
    <row r="15" spans="1:10" ht="17.399999999999999">
      <c r="B15" s="15" t="s">
        <v>426</v>
      </c>
    </row>
    <row r="17" spans="3:10" ht="15.6">
      <c r="C17" s="111" t="s">
        <v>423</v>
      </c>
    </row>
    <row r="18" spans="3:10" ht="15.6">
      <c r="C18" s="111"/>
    </row>
    <row r="19" spans="3:10" ht="15.6">
      <c r="C19" s="111"/>
      <c r="D19" s="660" t="s">
        <v>877</v>
      </c>
      <c r="F19" s="151" t="s">
        <v>878</v>
      </c>
    </row>
    <row r="20" spans="3:10" ht="15.6">
      <c r="C20" s="111"/>
      <c r="D20" s="660" t="s">
        <v>879</v>
      </c>
      <c r="F20" s="151" t="s">
        <v>880</v>
      </c>
    </row>
    <row r="21" spans="3:10" ht="15.6">
      <c r="C21" s="111"/>
      <c r="D21" s="660" t="s">
        <v>881</v>
      </c>
      <c r="F21" s="151" t="s">
        <v>882</v>
      </c>
    </row>
    <row r="22" spans="3:10" ht="15.6">
      <c r="C22" s="111"/>
      <c r="D22" s="660" t="s">
        <v>883</v>
      </c>
      <c r="F22" s="151" t="s">
        <v>884</v>
      </c>
    </row>
    <row r="23" spans="3:10" ht="15.6">
      <c r="C23" s="111"/>
    </row>
    <row r="24" spans="3:10" ht="15.6">
      <c r="C24" s="111"/>
    </row>
    <row r="25" spans="3:10" ht="15.6">
      <c r="C25" s="111" t="s">
        <v>885</v>
      </c>
    </row>
    <row r="26" spans="3:10" s="23" customFormat="1">
      <c r="J26" s="249" t="s">
        <v>278</v>
      </c>
    </row>
    <row r="27" spans="3:10">
      <c r="D27" s="731" t="str">
        <f>Lbl_Tgt_Group_1</f>
        <v>Target Group 1</v>
      </c>
      <c r="E27" s="731"/>
      <c r="F27" s="731"/>
      <c r="G27" s="731"/>
      <c r="H27" s="731"/>
      <c r="I27" s="23"/>
      <c r="J27" s="12"/>
    </row>
    <row r="28" spans="3:10">
      <c r="D28" s="667" t="s">
        <v>585</v>
      </c>
      <c r="E28" s="667"/>
      <c r="F28" s="667"/>
      <c r="G28" s="667"/>
      <c r="H28" s="667"/>
      <c r="I28" s="23"/>
      <c r="J28" s="115">
        <v>3468</v>
      </c>
    </row>
    <row r="29" spans="3:10" s="23" customFormat="1">
      <c r="D29" s="667" t="s">
        <v>586</v>
      </c>
      <c r="E29" s="667"/>
      <c r="F29" s="667"/>
      <c r="G29" s="667"/>
      <c r="H29" s="667"/>
      <c r="I29" s="12"/>
      <c r="J29" s="115">
        <v>3449</v>
      </c>
    </row>
    <row r="30" spans="3:10" s="23" customFormat="1">
      <c r="D30" s="667" t="s">
        <v>587</v>
      </c>
      <c r="E30" s="667"/>
      <c r="F30" s="667"/>
      <c r="G30" s="667"/>
      <c r="H30" s="667"/>
      <c r="I30" s="12"/>
      <c r="J30" s="115">
        <v>7000</v>
      </c>
    </row>
    <row r="31" spans="3:10">
      <c r="D31" s="732" t="str">
        <f t="shared" ref="D31" si="0">"All "&amp;D27</f>
        <v>All Target Group 1</v>
      </c>
      <c r="E31" s="732"/>
      <c r="F31" s="732"/>
      <c r="G31" s="732"/>
      <c r="H31" s="732"/>
      <c r="I31" s="23"/>
      <c r="J31" s="195">
        <f>SUM(J28:J30)</f>
        <v>13917</v>
      </c>
    </row>
    <row r="32" spans="3:10" ht="7.5" customHeight="1">
      <c r="I32" s="23"/>
    </row>
    <row r="33" spans="4:10">
      <c r="D33" s="731" t="str">
        <f>Lbl_Tgt_Group_2</f>
        <v>Target Group 2 [not in use]</v>
      </c>
      <c r="E33" s="731"/>
      <c r="F33" s="731"/>
      <c r="G33" s="731"/>
      <c r="H33" s="731"/>
      <c r="I33" s="23"/>
      <c r="J33" s="12"/>
    </row>
    <row r="34" spans="4:10">
      <c r="D34" s="667"/>
      <c r="E34" s="667"/>
      <c r="F34" s="667"/>
      <c r="G34" s="667"/>
      <c r="H34" s="667"/>
      <c r="I34" s="23"/>
      <c r="J34" s="115"/>
    </row>
    <row r="35" spans="4:10">
      <c r="D35" s="667"/>
      <c r="E35" s="667"/>
      <c r="F35" s="667"/>
      <c r="G35" s="667"/>
      <c r="H35" s="667"/>
      <c r="I35" s="23"/>
      <c r="J35" s="115"/>
    </row>
    <row r="36" spans="4:10">
      <c r="D36" s="732" t="str">
        <f t="shared" ref="D36" si="1">"All "&amp;D33</f>
        <v>All Target Group 2 [not in use]</v>
      </c>
      <c r="E36" s="732"/>
      <c r="F36" s="732"/>
      <c r="G36" s="732"/>
      <c r="H36" s="732"/>
      <c r="I36" s="23"/>
      <c r="J36" s="195">
        <f>SUM(J34:J35)</f>
        <v>0</v>
      </c>
    </row>
    <row r="37" spans="4:10" ht="7.5" customHeight="1">
      <c r="I37" s="23"/>
    </row>
    <row r="38" spans="4:10">
      <c r="D38" s="731" t="str">
        <f>Lbl_Tgt_Group_3</f>
        <v>Target Group 3 [not in use]</v>
      </c>
      <c r="E38" s="731"/>
      <c r="F38" s="731"/>
      <c r="G38" s="731"/>
      <c r="H38" s="731"/>
      <c r="I38" s="23"/>
      <c r="J38" s="12"/>
    </row>
    <row r="39" spans="4:10">
      <c r="D39" s="667"/>
      <c r="E39" s="667"/>
      <c r="F39" s="667"/>
      <c r="G39" s="667"/>
      <c r="H39" s="667"/>
      <c r="I39" s="23"/>
      <c r="J39" s="115"/>
    </row>
    <row r="40" spans="4:10">
      <c r="D40" s="667"/>
      <c r="E40" s="667"/>
      <c r="F40" s="667"/>
      <c r="G40" s="667"/>
      <c r="H40" s="667"/>
      <c r="I40" s="23"/>
      <c r="J40" s="115"/>
    </row>
    <row r="41" spans="4:10">
      <c r="D41" s="732" t="str">
        <f t="shared" ref="D41" si="2">"All "&amp;D38</f>
        <v>All Target Group 3 [not in use]</v>
      </c>
      <c r="E41" s="732"/>
      <c r="F41" s="732"/>
      <c r="G41" s="732"/>
      <c r="H41" s="732"/>
      <c r="I41" s="23"/>
      <c r="J41" s="195">
        <f>SUM(J39:J40)</f>
        <v>0</v>
      </c>
    </row>
    <row r="42" spans="4:10" ht="7.5" customHeight="1">
      <c r="I42" s="23"/>
    </row>
    <row r="43" spans="4:10">
      <c r="D43" s="731" t="str">
        <f>Lbl_Tgt_Group_4</f>
        <v>Target Group 4 [not in use]</v>
      </c>
      <c r="E43" s="731"/>
      <c r="F43" s="731"/>
      <c r="G43" s="731"/>
      <c r="H43" s="731"/>
      <c r="I43" s="23"/>
      <c r="J43" s="12"/>
    </row>
    <row r="44" spans="4:10">
      <c r="D44" s="667"/>
      <c r="E44" s="667"/>
      <c r="F44" s="667"/>
      <c r="G44" s="667"/>
      <c r="H44" s="667"/>
      <c r="I44" s="23"/>
      <c r="J44" s="115"/>
    </row>
    <row r="45" spans="4:10">
      <c r="D45" s="667"/>
      <c r="E45" s="667"/>
      <c r="F45" s="667"/>
      <c r="G45" s="667"/>
      <c r="H45" s="667"/>
      <c r="I45" s="23"/>
      <c r="J45" s="115"/>
    </row>
    <row r="46" spans="4:10">
      <c r="D46" s="667"/>
      <c r="E46" s="667"/>
      <c r="F46" s="667"/>
      <c r="G46" s="667"/>
      <c r="H46" s="667"/>
      <c r="I46" s="23"/>
      <c r="J46" s="115"/>
    </row>
    <row r="47" spans="4:10">
      <c r="D47" s="667"/>
      <c r="E47" s="667"/>
      <c r="F47" s="667"/>
      <c r="G47" s="667"/>
      <c r="H47" s="667"/>
      <c r="I47" s="23"/>
      <c r="J47" s="115"/>
    </row>
    <row r="48" spans="4:10">
      <c r="D48" s="667"/>
      <c r="E48" s="667"/>
      <c r="F48" s="667"/>
      <c r="G48" s="667"/>
      <c r="H48" s="667"/>
      <c r="I48" s="23"/>
      <c r="J48" s="115"/>
    </row>
    <row r="49" spans="3:10">
      <c r="D49" s="732" t="str">
        <f t="shared" ref="D49" si="3">"All "&amp;D43</f>
        <v>All Target Group 4 [not in use]</v>
      </c>
      <c r="E49" s="732"/>
      <c r="F49" s="732"/>
      <c r="G49" s="732"/>
      <c r="H49" s="732"/>
      <c r="I49" s="23"/>
      <c r="J49" s="195">
        <f>SUM(J44:J48)</f>
        <v>0</v>
      </c>
    </row>
    <row r="50" spans="3:10" s="23" customFormat="1" ht="7.5" customHeight="1">
      <c r="D50" s="12"/>
      <c r="E50" s="12"/>
      <c r="F50" s="12"/>
      <c r="G50" s="12"/>
      <c r="H50" s="12"/>
      <c r="J50" s="12"/>
    </row>
    <row r="51" spans="3:10" s="23" customFormat="1" ht="15" thickBot="1">
      <c r="D51" s="733" t="s">
        <v>373</v>
      </c>
      <c r="E51" s="733"/>
      <c r="F51" s="733"/>
      <c r="G51" s="733"/>
      <c r="H51" s="733"/>
      <c r="J51" s="191">
        <f>SUM(J31,J36,J41,J49)</f>
        <v>13917</v>
      </c>
    </row>
    <row r="52" spans="3:10" s="23" customFormat="1" ht="15" thickTop="1"/>
    <row r="53" spans="3:10" s="23" customFormat="1" ht="15.6">
      <c r="C53" s="111" t="s">
        <v>669</v>
      </c>
    </row>
    <row r="54" spans="3:10" s="23" customFormat="1">
      <c r="D54" s="667" t="s">
        <v>670</v>
      </c>
      <c r="E54" s="667"/>
      <c r="F54" s="667"/>
      <c r="G54" s="667"/>
      <c r="H54" s="667"/>
    </row>
    <row r="55" spans="3:10" s="23" customFormat="1">
      <c r="D55" s="667" t="s">
        <v>671</v>
      </c>
      <c r="E55" s="667"/>
      <c r="F55" s="667"/>
      <c r="G55" s="667"/>
      <c r="H55" s="667"/>
    </row>
    <row r="56" spans="3:10" s="23" customFormat="1">
      <c r="D56" s="667"/>
      <c r="E56" s="667"/>
      <c r="F56" s="667"/>
      <c r="G56" s="667"/>
      <c r="H56" s="667"/>
    </row>
    <row r="57" spans="3:10" s="23" customFormat="1">
      <c r="D57" s="667"/>
      <c r="E57" s="667"/>
      <c r="F57" s="667"/>
      <c r="G57" s="667"/>
      <c r="H57" s="667"/>
    </row>
    <row r="58" spans="3:10" s="23" customFormat="1">
      <c r="D58" s="667"/>
      <c r="E58" s="667"/>
      <c r="F58" s="667"/>
      <c r="G58" s="667"/>
      <c r="H58" s="667"/>
    </row>
    <row r="59" spans="3:10" s="23" customFormat="1">
      <c r="D59" s="667"/>
      <c r="E59" s="667"/>
      <c r="F59" s="667"/>
      <c r="G59" s="667"/>
      <c r="H59" s="667"/>
    </row>
    <row r="60" spans="3:10" s="23" customFormat="1">
      <c r="D60" s="667"/>
      <c r="E60" s="667"/>
      <c r="F60" s="667"/>
      <c r="G60" s="667"/>
      <c r="H60" s="667"/>
    </row>
    <row r="61" spans="3:10" s="23" customFormat="1">
      <c r="D61" s="667"/>
      <c r="E61" s="667"/>
      <c r="F61" s="667"/>
      <c r="G61" s="667"/>
      <c r="H61" s="667"/>
    </row>
    <row r="62" spans="3:10" s="23" customFormat="1"/>
    <row r="63" spans="3:10" s="23" customFormat="1"/>
    <row r="64" spans="3:10" s="23" customFormat="1"/>
    <row r="65" spans="2:10" s="23" customFormat="1"/>
    <row r="66" spans="2:10" s="23" customFormat="1"/>
    <row r="67" spans="2:10" s="23" customFormat="1"/>
    <row r="68" spans="2:10" s="23" customFormat="1"/>
    <row r="69" spans="2:10" s="23" customFormat="1"/>
    <row r="71" spans="2:10" ht="17.399999999999999">
      <c r="B71" s="15" t="s">
        <v>427</v>
      </c>
    </row>
    <row r="72" spans="2:10" s="23" customFormat="1"/>
    <row r="73" spans="2:10" s="23" customFormat="1" ht="15.6">
      <c r="C73" s="111" t="s">
        <v>425</v>
      </c>
    </row>
    <row r="75" spans="2:10" s="23" customFormat="1">
      <c r="D75" s="153" t="str">
        <f>D27</f>
        <v>Target Group 1</v>
      </c>
      <c r="J75" s="12"/>
    </row>
    <row r="76" spans="2:10" s="23" customFormat="1">
      <c r="D76" s="333" t="str">
        <f t="shared" ref="D76:D78" si="4">D28</f>
        <v>Front Line Health Workers working in facilities with more than 200 workers</v>
      </c>
      <c r="J76" s="120">
        <v>0.5</v>
      </c>
    </row>
    <row r="77" spans="2:10" s="23" customFormat="1">
      <c r="D77" s="159" t="str">
        <f t="shared" si="4"/>
        <v>Front Line Health Workers working in facilities with 100 to 200 workers</v>
      </c>
      <c r="J77" s="120">
        <v>0.7</v>
      </c>
    </row>
    <row r="78" spans="2:10" s="23" customFormat="1">
      <c r="D78" s="159" t="str">
        <f t="shared" si="4"/>
        <v>Front Line Health Workers working in facilities with fewer than 100 workers</v>
      </c>
      <c r="J78" s="120">
        <v>0.7</v>
      </c>
    </row>
    <row r="79" spans="2:10" s="23" customFormat="1">
      <c r="D79" s="68"/>
      <c r="J79" s="125"/>
    </row>
    <row r="80" spans="2:10" s="23" customFormat="1" ht="7.5" customHeight="1">
      <c r="D80" s="134"/>
      <c r="J80" s="134"/>
    </row>
    <row r="81" spans="4:10" s="23" customFormat="1">
      <c r="D81" s="153" t="str">
        <f>D33</f>
        <v>Target Group 2 [not in use]</v>
      </c>
      <c r="J81" s="12"/>
    </row>
    <row r="82" spans="4:10" s="23" customFormat="1">
      <c r="D82" s="333">
        <f t="shared" ref="D82:D83" si="5">D34</f>
        <v>0</v>
      </c>
      <c r="J82" s="120">
        <v>0.1</v>
      </c>
    </row>
    <row r="83" spans="4:10" s="23" customFormat="1">
      <c r="D83" s="333">
        <f t="shared" si="5"/>
        <v>0</v>
      </c>
      <c r="J83" s="120">
        <v>0.2</v>
      </c>
    </row>
    <row r="84" spans="4:10" s="23" customFormat="1" collapsed="1">
      <c r="D84" s="68"/>
      <c r="J84" s="125"/>
    </row>
    <row r="85" spans="4:10" s="23" customFormat="1" ht="7.5" customHeight="1">
      <c r="D85" s="134"/>
      <c r="J85" s="134"/>
    </row>
    <row r="86" spans="4:10" s="23" customFormat="1">
      <c r="D86" s="153" t="str">
        <f>D38</f>
        <v>Target Group 3 [not in use]</v>
      </c>
      <c r="J86" s="12"/>
    </row>
    <row r="87" spans="4:10" s="23" customFormat="1">
      <c r="D87" s="333">
        <f t="shared" ref="D87:D88" si="6">D39</f>
        <v>0</v>
      </c>
      <c r="J87" s="120">
        <v>0.3</v>
      </c>
    </row>
    <row r="88" spans="4:10" s="23" customFormat="1">
      <c r="D88" s="333">
        <f t="shared" si="6"/>
        <v>0</v>
      </c>
      <c r="J88" s="120">
        <v>0.4</v>
      </c>
    </row>
    <row r="89" spans="4:10" s="23" customFormat="1" collapsed="1">
      <c r="D89" s="68"/>
      <c r="J89" s="125"/>
    </row>
    <row r="90" spans="4:10" s="23" customFormat="1" ht="7.5" customHeight="1">
      <c r="D90" s="134"/>
      <c r="J90" s="134"/>
    </row>
    <row r="91" spans="4:10" s="23" customFormat="1">
      <c r="D91" s="153" t="str">
        <f t="shared" ref="D91" si="7">D43</f>
        <v>Target Group 4 [not in use]</v>
      </c>
      <c r="J91" s="12"/>
    </row>
    <row r="92" spans="4:10" s="23" customFormat="1">
      <c r="D92" s="333">
        <f t="shared" ref="D92:D96" si="8">D44</f>
        <v>0</v>
      </c>
      <c r="J92" s="120">
        <v>0.45</v>
      </c>
    </row>
    <row r="93" spans="4:10" s="23" customFormat="1">
      <c r="D93" s="333">
        <f t="shared" si="8"/>
        <v>0</v>
      </c>
      <c r="J93" s="120">
        <v>0.5</v>
      </c>
    </row>
    <row r="94" spans="4:10" s="23" customFormat="1">
      <c r="D94" s="333">
        <f t="shared" si="8"/>
        <v>0</v>
      </c>
      <c r="J94" s="120">
        <v>0.55000000000000004</v>
      </c>
    </row>
    <row r="95" spans="4:10" s="23" customFormat="1">
      <c r="D95" s="333">
        <f t="shared" si="8"/>
        <v>0</v>
      </c>
      <c r="J95" s="120">
        <v>0.6</v>
      </c>
    </row>
    <row r="96" spans="4:10" s="23" customFormat="1">
      <c r="D96" s="333">
        <f t="shared" si="8"/>
        <v>0</v>
      </c>
      <c r="J96" s="120">
        <v>0.65</v>
      </c>
    </row>
    <row r="97" spans="2:10" s="23" customFormat="1" collapsed="1">
      <c r="D97" s="68"/>
      <c r="J97" s="125"/>
    </row>
    <row r="98" spans="2:10" s="23" customFormat="1" ht="15.6">
      <c r="C98" s="111" t="s">
        <v>669</v>
      </c>
    </row>
    <row r="99" spans="2:10" s="23" customFormat="1">
      <c r="D99" s="667" t="s">
        <v>672</v>
      </c>
      <c r="E99" s="667"/>
      <c r="F99" s="667"/>
      <c r="G99" s="667"/>
      <c r="H99" s="667"/>
    </row>
    <row r="100" spans="2:10" s="23" customFormat="1">
      <c r="D100" s="667" t="s">
        <v>673</v>
      </c>
      <c r="E100" s="667"/>
      <c r="F100" s="667"/>
      <c r="G100" s="667"/>
      <c r="H100" s="667"/>
    </row>
    <row r="101" spans="2:10" s="23" customFormat="1">
      <c r="D101" s="667" t="s">
        <v>674</v>
      </c>
      <c r="E101" s="667"/>
      <c r="F101" s="667"/>
      <c r="G101" s="667"/>
      <c r="H101" s="667"/>
    </row>
    <row r="102" spans="2:10" s="23" customFormat="1">
      <c r="D102" s="667" t="s">
        <v>675</v>
      </c>
      <c r="E102" s="667"/>
      <c r="F102" s="667"/>
      <c r="G102" s="667"/>
      <c r="H102" s="667"/>
    </row>
    <row r="103" spans="2:10" s="23" customFormat="1">
      <c r="D103" s="667" t="s">
        <v>676</v>
      </c>
      <c r="E103" s="667"/>
      <c r="F103" s="667"/>
      <c r="G103" s="667"/>
      <c r="H103" s="667"/>
    </row>
    <row r="104" spans="2:10" s="23" customFormat="1"/>
    <row r="105" spans="2:10" s="23" customFormat="1"/>
    <row r="106" spans="2:10" s="23" customFormat="1"/>
    <row r="109" spans="2:10" ht="17.399999999999999">
      <c r="B109" s="15" t="s">
        <v>593</v>
      </c>
    </row>
    <row r="111" spans="2:10" s="23" customFormat="1">
      <c r="D111" s="153" t="str">
        <f>D27</f>
        <v>Target Group 1</v>
      </c>
      <c r="J111" s="18"/>
    </row>
    <row r="112" spans="2:10" s="23" customFormat="1" outlineLevel="1">
      <c r="D112" s="333" t="str">
        <f t="shared" ref="D112:D114" si="9">D28</f>
        <v>Front Line Health Workers working in facilities with more than 200 workers</v>
      </c>
      <c r="J112" s="210">
        <f t="shared" ref="J112:J114" si="10">J28*J76</f>
        <v>1734</v>
      </c>
    </row>
    <row r="113" spans="4:10" s="23" customFormat="1" outlineLevel="1">
      <c r="D113" s="159" t="str">
        <f t="shared" si="9"/>
        <v>Front Line Health Workers working in facilities with 100 to 200 workers</v>
      </c>
      <c r="J113" s="210">
        <f t="shared" si="10"/>
        <v>2414.2999999999997</v>
      </c>
    </row>
    <row r="114" spans="4:10" s="23" customFormat="1" outlineLevel="1">
      <c r="D114" s="159" t="str">
        <f t="shared" si="9"/>
        <v>Front Line Health Workers working in facilities with fewer than 100 workers</v>
      </c>
      <c r="J114" s="209">
        <f t="shared" si="10"/>
        <v>4900</v>
      </c>
    </row>
    <row r="115" spans="4:10" s="23" customFormat="1">
      <c r="D115" s="332" t="str">
        <f>"Subtotal "&amp;D111</f>
        <v>Subtotal Target Group 1</v>
      </c>
      <c r="J115" s="195">
        <f>SUM(J112:J114)</f>
        <v>9048.2999999999993</v>
      </c>
    </row>
    <row r="116" spans="4:10" s="23" customFormat="1" ht="7.5" customHeight="1">
      <c r="D116" s="134"/>
      <c r="J116" s="134"/>
    </row>
    <row r="117" spans="4:10" s="23" customFormat="1">
      <c r="D117" s="153" t="str">
        <f>D33</f>
        <v>Target Group 2 [not in use]</v>
      </c>
      <c r="J117" s="18"/>
    </row>
    <row r="118" spans="4:10" s="23" customFormat="1" outlineLevel="1">
      <c r="D118" s="333">
        <f t="shared" ref="D118:D119" si="11">D34</f>
        <v>0</v>
      </c>
      <c r="J118" s="210">
        <f t="shared" ref="J118:J119" si="12">J34*J82</f>
        <v>0</v>
      </c>
    </row>
    <row r="119" spans="4:10" s="23" customFormat="1" outlineLevel="1">
      <c r="D119" s="333">
        <f t="shared" si="11"/>
        <v>0</v>
      </c>
      <c r="J119" s="209">
        <f t="shared" si="12"/>
        <v>0</v>
      </c>
    </row>
    <row r="120" spans="4:10" s="23" customFormat="1">
      <c r="D120" s="332" t="str">
        <f>"Subtotal "&amp;D117</f>
        <v>Subtotal Target Group 2 [not in use]</v>
      </c>
      <c r="J120" s="195">
        <f>SUM(J118:J119)</f>
        <v>0</v>
      </c>
    </row>
    <row r="121" spans="4:10" s="23" customFormat="1" ht="7.5" customHeight="1">
      <c r="D121" s="134"/>
      <c r="J121" s="134"/>
    </row>
    <row r="122" spans="4:10" s="23" customFormat="1">
      <c r="D122" s="153" t="str">
        <f>D38</f>
        <v>Target Group 3 [not in use]</v>
      </c>
      <c r="J122" s="18"/>
    </row>
    <row r="123" spans="4:10" s="23" customFormat="1" outlineLevel="1">
      <c r="D123" s="333">
        <f t="shared" ref="D123:D124" si="13">D39</f>
        <v>0</v>
      </c>
      <c r="J123" s="210">
        <f t="shared" ref="J123:J124" si="14">J39*J87</f>
        <v>0</v>
      </c>
    </row>
    <row r="124" spans="4:10" s="23" customFormat="1" outlineLevel="1">
      <c r="D124" s="333">
        <f t="shared" si="13"/>
        <v>0</v>
      </c>
      <c r="J124" s="209">
        <f t="shared" si="14"/>
        <v>0</v>
      </c>
    </row>
    <row r="125" spans="4:10" s="23" customFormat="1">
      <c r="D125" s="332" t="str">
        <f>"Subtotal "&amp;D122</f>
        <v>Subtotal Target Group 3 [not in use]</v>
      </c>
      <c r="J125" s="195">
        <f>SUM(J123:J124)</f>
        <v>0</v>
      </c>
    </row>
    <row r="126" spans="4:10" s="23" customFormat="1" ht="7.5" customHeight="1">
      <c r="D126" s="134"/>
      <c r="J126" s="134"/>
    </row>
    <row r="127" spans="4:10" s="23" customFormat="1">
      <c r="D127" s="153" t="str">
        <f t="shared" ref="D127" si="15">D43</f>
        <v>Target Group 4 [not in use]</v>
      </c>
      <c r="J127" s="18"/>
    </row>
    <row r="128" spans="4:10" s="23" customFormat="1" outlineLevel="1">
      <c r="D128" s="333">
        <f t="shared" ref="D128:D132" si="16">D44</f>
        <v>0</v>
      </c>
      <c r="J128" s="210">
        <f t="shared" ref="J128:J132" si="17">J44*J92</f>
        <v>0</v>
      </c>
    </row>
    <row r="129" spans="4:10" s="23" customFormat="1" outlineLevel="1">
      <c r="D129" s="333">
        <f t="shared" si="16"/>
        <v>0</v>
      </c>
      <c r="J129" s="210">
        <f t="shared" si="17"/>
        <v>0</v>
      </c>
    </row>
    <row r="130" spans="4:10" s="23" customFormat="1" outlineLevel="1">
      <c r="D130" s="333">
        <f t="shared" si="16"/>
        <v>0</v>
      </c>
      <c r="J130" s="210">
        <f t="shared" si="17"/>
        <v>0</v>
      </c>
    </row>
    <row r="131" spans="4:10" s="23" customFormat="1" outlineLevel="1">
      <c r="D131" s="333">
        <f t="shared" si="16"/>
        <v>0</v>
      </c>
      <c r="J131" s="210">
        <f t="shared" si="17"/>
        <v>0</v>
      </c>
    </row>
    <row r="132" spans="4:10" s="23" customFormat="1" outlineLevel="1">
      <c r="D132" s="333">
        <f t="shared" si="16"/>
        <v>0</v>
      </c>
      <c r="J132" s="209">
        <f t="shared" si="17"/>
        <v>0</v>
      </c>
    </row>
    <row r="133" spans="4:10" s="23" customFormat="1">
      <c r="D133" s="332" t="str">
        <f>"Subtotal "&amp;D127</f>
        <v>Subtotal Target Group 4 [not in use]</v>
      </c>
      <c r="J133" s="195">
        <f>SUM(J128:J132)</f>
        <v>0</v>
      </c>
    </row>
    <row r="134" spans="4:10" s="23" customFormat="1" ht="7.5" customHeight="1">
      <c r="D134" s="12"/>
      <c r="J134" s="12"/>
    </row>
    <row r="135" spans="4:10" s="23" customFormat="1" ht="15" thickBot="1">
      <c r="D135" s="152" t="s">
        <v>516</v>
      </c>
      <c r="J135" s="191">
        <f>SUM(J115,J120,J125,J133)</f>
        <v>9048.2999999999993</v>
      </c>
    </row>
    <row r="136" spans="4:10" ht="15" thickTop="1"/>
    <row r="146" spans="4:4">
      <c r="D146" s="23"/>
    </row>
  </sheetData>
  <mergeCells count="35">
    <mergeCell ref="D99:H99"/>
    <mergeCell ref="D100:H100"/>
    <mergeCell ref="D101:H101"/>
    <mergeCell ref="D102:H102"/>
    <mergeCell ref="D103:H103"/>
    <mergeCell ref="D59:H59"/>
    <mergeCell ref="D60:H60"/>
    <mergeCell ref="D61:H61"/>
    <mergeCell ref="D54:H54"/>
    <mergeCell ref="D55:H55"/>
    <mergeCell ref="D56:H56"/>
    <mergeCell ref="D57:H57"/>
    <mergeCell ref="D58:H58"/>
    <mergeCell ref="D45:H45"/>
    <mergeCell ref="D46:H46"/>
    <mergeCell ref="D47:H47"/>
    <mergeCell ref="D48:H48"/>
    <mergeCell ref="D51:H51"/>
    <mergeCell ref="D49:H49"/>
    <mergeCell ref="D31:H31"/>
    <mergeCell ref="D36:H36"/>
    <mergeCell ref="D41:H41"/>
    <mergeCell ref="B3:F3"/>
    <mergeCell ref="D28:H28"/>
    <mergeCell ref="D34:H34"/>
    <mergeCell ref="D27:H27"/>
    <mergeCell ref="D33:H33"/>
    <mergeCell ref="D38:H38"/>
    <mergeCell ref="D29:H29"/>
    <mergeCell ref="D30:H30"/>
    <mergeCell ref="D43:H43"/>
    <mergeCell ref="D35:H35"/>
    <mergeCell ref="D39:H39"/>
    <mergeCell ref="D40:H40"/>
    <mergeCell ref="D44:H44"/>
  </mergeCells>
  <dataValidations count="1">
    <dataValidation type="custom" showErrorMessage="1" errorTitle="Invalid Assumption" error="Assumption must be a number." sqref="J28:J30 J34:J35 J39:J40 J82:J83 J87:J88 J76:J78 J92:J96 J44:J48" xr:uid="{00000000-0002-0000-0D00-000000000000}">
      <formula1>NOT(ISERROR(J28/1))</formula1>
    </dataValidation>
  </dataValidations>
  <hyperlinks>
    <hyperlink ref="B4" location="HL_Sheet_Main_22" tooltip="Go to Previous Sheet" display="HL_Sheet_Main_22" xr:uid="{00000000-0004-0000-0D00-000000000000}"/>
    <hyperlink ref="C4" location="HL_Sheet_Main_57" tooltip="Go to Next Sheet" display="HL_Sheet_Main_57" xr:uid="{00000000-0004-0000-0D00-000001000000}"/>
    <hyperlink ref="A4" location="$B$10" tooltip="Go to Top of Sheet" display="$B$10" xr:uid="{00000000-0004-0000-0D00-000002000000}"/>
    <hyperlink ref="B3" location="HL_Home" tooltip="Go to Table of Contents" display="HL_Home" xr:uid="{00000000-0004-0000-0D00-000003000000}"/>
    <hyperlink ref="D4" location="HL_Err_Chk" tooltip="Go to Error Checks" display="HL_Err_Chk" xr:uid="{00000000-0004-0000-0D00-000004000000}"/>
    <hyperlink ref="E4" location="HL_Sens_Chk" tooltip="Go to Sensitivity Checks" display="HL_Sens_Chk" xr:uid="{00000000-0004-0000-0D00-000005000000}"/>
    <hyperlink ref="F4" location="HL_Alt_Chk" tooltip="Go to Alert Checks" display="HL_Alt_Chk" xr:uid="{00000000-0004-0000-0D00-000006000000}"/>
  </hyperlinks>
  <pageMargins left="0.4" right="0.4" top="0.6" bottom="1" header="0" footer="0.3"/>
  <pageSetup orientation="landscape" horizontalDpi="4294967292" verticalDpi="0" r:id="rId1"/>
  <headerFooter>
    <oddFooter>&amp;L&amp;F
&amp;A
Printed: &amp;T on &amp;D&amp;C&amp;",Bold"Sheet e.
Page &amp;P of &amp;N</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indexed="12"/>
    <pageSetUpPr autoPageBreaks="0"/>
  </sheetPr>
  <dimension ref="A1:N105"/>
  <sheetViews>
    <sheetView showGridLines="0" zoomScaleNormal="100" workbookViewId="0">
      <pane xSplit="1" ySplit="9" topLeftCell="B10" activePane="bottomRight" state="frozenSplit"/>
      <selection pane="topRight" activeCell="B1" sqref="B1"/>
      <selection pane="bottomLeft" activeCell="A5" sqref="A5"/>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4" width="15.6640625" style="134" customWidth="1"/>
    <col min="15" max="16384" width="11.6640625" style="134"/>
  </cols>
  <sheetData>
    <row r="1" spans="1:14" ht="21">
      <c r="B1" s="46" t="s">
        <v>443</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ht="17.399999999999999">
      <c r="B12" s="15" t="s">
        <v>353</v>
      </c>
    </row>
    <row r="13" spans="1:14" s="23" customFormat="1"/>
    <row r="15" spans="1:14" s="23" customFormat="1" ht="15.6">
      <c r="C15" s="111" t="s">
        <v>445</v>
      </c>
      <c r="D15" s="152" t="s">
        <v>482</v>
      </c>
    </row>
    <row r="16" spans="1:14" s="23" customFormat="1">
      <c r="E16" s="152" t="s">
        <v>444</v>
      </c>
      <c r="G16" s="152" t="s">
        <v>600</v>
      </c>
    </row>
    <row r="17" spans="3:10" s="23" customFormat="1">
      <c r="E17" s="734" t="s">
        <v>708</v>
      </c>
      <c r="F17" s="734"/>
      <c r="G17" s="726" t="s">
        <v>795</v>
      </c>
      <c r="H17" s="726"/>
      <c r="I17" s="726"/>
    </row>
    <row r="18" spans="3:10" s="23" customFormat="1">
      <c r="E18" s="734" t="s">
        <v>709</v>
      </c>
      <c r="F18" s="734"/>
      <c r="G18" s="726" t="s">
        <v>796</v>
      </c>
      <c r="H18" s="726"/>
      <c r="I18" s="726"/>
    </row>
    <row r="19" spans="3:10" s="23" customFormat="1">
      <c r="E19" s="734" t="s">
        <v>797</v>
      </c>
      <c r="F19" s="734"/>
      <c r="G19" s="726" t="s">
        <v>797</v>
      </c>
      <c r="H19" s="726"/>
      <c r="I19" s="726"/>
    </row>
    <row r="20" spans="3:10" s="23" customFormat="1"/>
    <row r="21" spans="3:10" s="23" customFormat="1" ht="15.6">
      <c r="C21" s="111" t="s">
        <v>483</v>
      </c>
      <c r="D21" s="152" t="s">
        <v>832</v>
      </c>
    </row>
    <row r="22" spans="3:10" s="23" customFormat="1" ht="15" thickBot="1">
      <c r="C22" s="55"/>
      <c r="D22" s="55"/>
      <c r="E22" s="55"/>
      <c r="F22" s="55"/>
      <c r="G22" s="55"/>
      <c r="H22" s="55"/>
      <c r="I22" s="55"/>
      <c r="J22" s="55"/>
    </row>
    <row r="23" spans="3:10" s="23" customFormat="1"/>
    <row r="24" spans="3:10" s="23" customFormat="1" ht="17.399999999999999">
      <c r="C24" s="90" t="str">
        <f>$E$17</f>
        <v>Develop Annual Influenza Programme Plan and Budget</v>
      </c>
    </row>
    <row r="25" spans="3:10" s="23" customFormat="1"/>
    <row r="26" spans="3:10" s="23" customFormat="1" ht="57.6">
      <c r="C26" s="94" t="s">
        <v>194</v>
      </c>
      <c r="D26" s="111" t="s">
        <v>440</v>
      </c>
      <c r="G26" s="152" t="s">
        <v>117</v>
      </c>
      <c r="H26" s="72" t="s">
        <v>476</v>
      </c>
      <c r="J26" s="72" t="s">
        <v>477</v>
      </c>
    </row>
    <row r="27" spans="3:10" s="23" customFormat="1">
      <c r="G27" s="31">
        <v>2</v>
      </c>
    </row>
    <row r="28" spans="3:10" s="23" customFormat="1">
      <c r="F28" s="152" t="s">
        <v>189</v>
      </c>
      <c r="H28" s="95">
        <f ca="1">IF(DD_FLU_MICRO_1=2,MICROPLANNING_BA!L92,MICROPLANNING_BA!N92)</f>
        <v>22851</v>
      </c>
      <c r="I28" s="143" t="str">
        <f ca="1">OFFSET(FLU_LU!$D$77,DD_FLU_MICRO_1,0)</f>
        <v>GOZ</v>
      </c>
      <c r="J28" s="115">
        <v>22008</v>
      </c>
    </row>
    <row r="29" spans="3:10" s="23" customFormat="1">
      <c r="F29" s="152" t="s">
        <v>190</v>
      </c>
      <c r="H29" s="95">
        <f ca="1">IF(DD_FLU_MICRO_1=2,MICROPLANNING_BA!M92,MICROPLANNING_BA!O92)</f>
        <v>22856</v>
      </c>
      <c r="I29" s="143" t="str">
        <f ca="1">OFFSET(FLU_LU!$D$77,DD_FLU_MICRO_1,0)</f>
        <v>GOZ</v>
      </c>
      <c r="J29" s="115">
        <v>129280</v>
      </c>
    </row>
    <row r="30" spans="3:10" s="23" customFormat="1">
      <c r="J30" s="12"/>
    </row>
    <row r="31" spans="3:10" s="23" customFormat="1">
      <c r="D31" s="716" t="str">
        <f>"Go to "&amp;HL_FLU_Micro_A_Assumptions</f>
        <v>Go to Detailed Costing Develop Annual Influenza Programme Plan and Budget</v>
      </c>
      <c r="E31" s="716"/>
      <c r="F31" s="716"/>
      <c r="H31" s="152" t="s">
        <v>478</v>
      </c>
    </row>
    <row r="32" spans="3:10" s="23" customFormat="1"/>
    <row r="33" spans="2:10" s="23" customFormat="1" ht="15.6">
      <c r="D33" s="111" t="s">
        <v>479</v>
      </c>
    </row>
    <row r="34" spans="2:10" s="23" customFormat="1">
      <c r="F34" s="667"/>
      <c r="G34" s="667"/>
      <c r="H34" s="667"/>
      <c r="I34" s="667"/>
    </row>
    <row r="35" spans="2:10" s="23" customFormat="1">
      <c r="F35" s="667"/>
      <c r="G35" s="667"/>
      <c r="H35" s="667"/>
      <c r="I35" s="667"/>
    </row>
    <row r="36" spans="2:10" s="23" customFormat="1">
      <c r="F36" s="667"/>
      <c r="G36" s="667"/>
      <c r="H36" s="667"/>
      <c r="I36" s="667"/>
    </row>
    <row r="37" spans="2:10" s="23" customFormat="1">
      <c r="F37" s="667"/>
      <c r="G37" s="667"/>
      <c r="H37" s="667"/>
      <c r="I37" s="667"/>
    </row>
    <row r="38" spans="2:10" s="23" customFormat="1"/>
    <row r="39" spans="2:10" s="23" customFormat="1" ht="15.6">
      <c r="D39" s="111" t="s">
        <v>462</v>
      </c>
      <c r="J39" s="115">
        <v>1</v>
      </c>
    </row>
    <row r="40" spans="2:10" s="23" customFormat="1">
      <c r="J40" s="12"/>
    </row>
    <row r="41" spans="2:10" s="23" customFormat="1" ht="15.6">
      <c r="B41" s="82" t="str">
        <f>"TOTAL ACTIVITIES COST FOR "&amp;C24</f>
        <v>TOTAL ACTIVITIES COST FOR Develop Annual Influenza Programme Plan and Budget</v>
      </c>
    </row>
    <row r="42" spans="2:10" s="23" customFormat="1"/>
    <row r="43" spans="2:10" s="23" customFormat="1">
      <c r="F43" s="155" t="str">
        <f>"Total Cost ("&amp;FLU_LU!$D$78&amp;")"</f>
        <v>Total Cost (USD)</v>
      </c>
      <c r="J43" s="12"/>
    </row>
    <row r="44" spans="2:10" s="23" customFormat="1">
      <c r="I44" s="68" t="s">
        <v>166</v>
      </c>
      <c r="J44" s="340">
        <f>IF(DD_FLU_MICRO_1=1,J28*J39,(J28*J$39)/FLU_XCHANGE_YR1)</f>
        <v>146.72</v>
      </c>
    </row>
    <row r="45" spans="2:10" s="23" customFormat="1">
      <c r="I45" s="68" t="s">
        <v>167</v>
      </c>
      <c r="J45" s="340">
        <f>IF(DD_FLU_MICRO_1=1,J29*J40,(J29*J$39)/FLU_XCHANGE_YR1)</f>
        <v>861.86666666666667</v>
      </c>
    </row>
    <row r="46" spans="2:10" s="23" customFormat="1"/>
    <row r="47" spans="2:10" s="23" customFormat="1">
      <c r="F47" s="155" t="str">
        <f>"Total Cost ("&amp;FLU_LU!$D$79&amp;")"</f>
        <v>Total Cost (GOZ)</v>
      </c>
      <c r="I47" s="68" t="s">
        <v>166</v>
      </c>
      <c r="J47" s="135">
        <f>IF(DD_FLU_MICRO_1=2,J28*J39,(J28*J39)*FLU_XCHANGE_YR1)</f>
        <v>22008</v>
      </c>
    </row>
    <row r="48" spans="2:10" s="23" customFormat="1">
      <c r="I48" s="68" t="s">
        <v>167</v>
      </c>
      <c r="J48" s="135">
        <f>IF(DD_FLU_MICRO_1=2,J29*J39,(J29*J$39)*FLU_XCHANGE_YR1)</f>
        <v>129280</v>
      </c>
    </row>
    <row r="49" spans="3:10" s="23" customFormat="1"/>
    <row r="50" spans="3:10" s="23" customFormat="1" ht="15" thickBot="1">
      <c r="C50" s="55"/>
      <c r="D50" s="55"/>
      <c r="E50" s="55"/>
      <c r="F50" s="55"/>
      <c r="G50" s="55"/>
      <c r="H50" s="55"/>
      <c r="I50" s="55"/>
      <c r="J50" s="55"/>
    </row>
    <row r="51" spans="3:10" s="23" customFormat="1"/>
    <row r="52" spans="3:10" s="23" customFormat="1" ht="17.399999999999999">
      <c r="C52" s="90" t="str">
        <f>$E$18</f>
        <v>IPH meets w/ District Epidemiologists to Prepare for Flu Vaccination Activities</v>
      </c>
    </row>
    <row r="53" spans="3:10" s="23" customFormat="1"/>
    <row r="54" spans="3:10" s="23" customFormat="1" ht="57.6">
      <c r="C54" s="94" t="s">
        <v>194</v>
      </c>
      <c r="D54" s="111" t="s">
        <v>440</v>
      </c>
      <c r="G54" s="152" t="s">
        <v>117</v>
      </c>
      <c r="H54" s="72" t="s">
        <v>476</v>
      </c>
      <c r="J54" s="72" t="s">
        <v>477</v>
      </c>
    </row>
    <row r="55" spans="3:10" s="23" customFormat="1">
      <c r="G55" s="31">
        <v>2</v>
      </c>
    </row>
    <row r="56" spans="3:10" s="23" customFormat="1">
      <c r="F56" s="152" t="s">
        <v>189</v>
      </c>
      <c r="H56" s="95">
        <f ca="1">IF(DD_FLU_MICRO_B_CURRENCY=2,MICROPLANNING_BA!L177,MICROPLANNING_BA!N177)</f>
        <v>28351</v>
      </c>
      <c r="I56" s="143" t="str">
        <f ca="1">OFFSET(FLU_LU!$D$77,DD_FLU_MICRO_B_CURRENCY,0)</f>
        <v>GOZ</v>
      </c>
      <c r="J56" s="115">
        <v>30000</v>
      </c>
    </row>
    <row r="57" spans="3:10" s="23" customFormat="1">
      <c r="F57" s="152" t="s">
        <v>190</v>
      </c>
      <c r="H57" s="95">
        <f ca="1">IF(DD_FLU_MICRO_B_CURRENCY=2,MICROPLANNING_BA!M177,MICROPLANNING_BA!O177)</f>
        <v>56265.818181818184</v>
      </c>
      <c r="I57" s="143" t="str">
        <f ca="1">OFFSET(FLU_LU!$D$77,DD_FLU_MICRO_B_CURRENCY,0)</f>
        <v>GOZ</v>
      </c>
      <c r="J57" s="115">
        <v>60000</v>
      </c>
    </row>
    <row r="58" spans="3:10" s="23" customFormat="1">
      <c r="J58" s="12"/>
    </row>
    <row r="59" spans="3:10" s="23" customFormat="1">
      <c r="D59" s="716" t="str">
        <f>"Go to "&amp;HL_FLU_Micro_B_Detailed</f>
        <v>Go to Detailed Costing IPH meets w/ District Epidemiologists to Prepare for Flu Vaccination Activities</v>
      </c>
      <c r="E59" s="716"/>
      <c r="F59" s="716"/>
      <c r="H59" s="152" t="s">
        <v>478</v>
      </c>
    </row>
    <row r="60" spans="3:10" s="23" customFormat="1"/>
    <row r="61" spans="3:10" s="23" customFormat="1" ht="15.6">
      <c r="D61" s="111" t="s">
        <v>479</v>
      </c>
    </row>
    <row r="62" spans="3:10" s="23" customFormat="1">
      <c r="F62" s="667"/>
      <c r="G62" s="667"/>
      <c r="H62" s="667"/>
      <c r="I62" s="667"/>
    </row>
    <row r="63" spans="3:10" s="23" customFormat="1">
      <c r="F63" s="667"/>
      <c r="G63" s="667"/>
      <c r="H63" s="667"/>
      <c r="I63" s="667"/>
    </row>
    <row r="64" spans="3:10" s="23" customFormat="1">
      <c r="F64" s="667"/>
      <c r="G64" s="667"/>
      <c r="H64" s="667"/>
      <c r="I64" s="667"/>
    </row>
    <row r="65" spans="2:10" s="23" customFormat="1">
      <c r="F65" s="667"/>
      <c r="G65" s="667"/>
      <c r="H65" s="667"/>
      <c r="I65" s="667"/>
    </row>
    <row r="66" spans="2:10" s="23" customFormat="1"/>
    <row r="67" spans="2:10" s="23" customFormat="1" ht="15.6">
      <c r="D67" s="111" t="s">
        <v>462</v>
      </c>
      <c r="J67" s="115">
        <v>2</v>
      </c>
    </row>
    <row r="68" spans="2:10" s="23" customFormat="1">
      <c r="J68" s="12"/>
    </row>
    <row r="69" spans="2:10" s="23" customFormat="1" ht="15.6">
      <c r="B69" s="82" t="str">
        <f>"TOTAL ACTIVITIES COST FOR "&amp;C52</f>
        <v>TOTAL ACTIVITIES COST FOR IPH meets w/ District Epidemiologists to Prepare for Flu Vaccination Activities</v>
      </c>
    </row>
    <row r="70" spans="2:10" s="23" customFormat="1"/>
    <row r="71" spans="2:10" s="23" customFormat="1">
      <c r="F71" s="155" t="str">
        <f>"Total Cost ("&amp;FLU_LU!$D$78&amp;")"</f>
        <v>Total Cost (USD)</v>
      </c>
      <c r="J71" s="12"/>
    </row>
    <row r="72" spans="2:10" s="23" customFormat="1">
      <c r="I72" s="68" t="s">
        <v>166</v>
      </c>
      <c r="J72" s="340">
        <f>IF(DD_FLU_MICRO_B_CURRENCY=1,J56*J67,(J56*J67)/FLU_XCHANGE_YR1)</f>
        <v>400</v>
      </c>
    </row>
    <row r="73" spans="2:10" s="23" customFormat="1">
      <c r="I73" s="68" t="s">
        <v>167</v>
      </c>
      <c r="J73" s="340">
        <f>IF(DD_FLU_MICRO_B_CURRENCY=1,J57*J67,(J57*J67/FLU_XCHANGE_YR1))</f>
        <v>800</v>
      </c>
    </row>
    <row r="74" spans="2:10" s="23" customFormat="1"/>
    <row r="75" spans="2:10" s="23" customFormat="1">
      <c r="F75" s="155" t="str">
        <f>"Total Cost ("&amp;FLU_LU!$D$79&amp;")"</f>
        <v>Total Cost (GOZ)</v>
      </c>
      <c r="I75" s="68" t="s">
        <v>166</v>
      </c>
      <c r="J75" s="135">
        <f>IF(DD_FLU_MICRO_B_CURRENCY=2,J56*J67,(J56*J67)*FLU_XCHANGE_YR1)</f>
        <v>60000</v>
      </c>
    </row>
    <row r="76" spans="2:10" s="23" customFormat="1">
      <c r="I76" s="68" t="s">
        <v>167</v>
      </c>
      <c r="J76" s="135">
        <f>IF(DD_FLU_MICRO_B_CURRENCY=2,J57*J67,(J57*J67)*FLU_XCHANGE_YR1)</f>
        <v>120000</v>
      </c>
    </row>
    <row r="77" spans="2:10" s="23" customFormat="1"/>
    <row r="78" spans="2:10" ht="15" thickBot="1">
      <c r="C78" s="55"/>
      <c r="D78" s="55"/>
      <c r="E78" s="55"/>
      <c r="F78" s="55"/>
      <c r="G78" s="55"/>
      <c r="H78" s="55"/>
      <c r="I78" s="55"/>
      <c r="J78" s="55"/>
    </row>
    <row r="80" spans="2:10" ht="17.399999999999999">
      <c r="C80" s="90" t="str">
        <f>$E$19</f>
        <v>[Available for Additional Microplanning Activity]</v>
      </c>
    </row>
    <row r="82" spans="3:10" ht="57.6">
      <c r="C82" s="94" t="s">
        <v>194</v>
      </c>
      <c r="D82" s="111" t="s">
        <v>440</v>
      </c>
      <c r="G82" s="152" t="s">
        <v>117</v>
      </c>
      <c r="H82" s="72" t="s">
        <v>476</v>
      </c>
      <c r="J82" s="72" t="s">
        <v>477</v>
      </c>
    </row>
    <row r="83" spans="3:10">
      <c r="G83" s="31">
        <v>2</v>
      </c>
    </row>
    <row r="84" spans="3:10">
      <c r="F84" s="152" t="s">
        <v>189</v>
      </c>
      <c r="H84" s="95">
        <f ca="1">IF(DD_FLU_MicroC_Currency=2,MICROPLANNING_BA!L262,MICROPLANNING_BA!N262)</f>
        <v>22851</v>
      </c>
      <c r="I84" s="143" t="str">
        <f ca="1">OFFSET(FLU_LU!$D$77,DD_FLU_MicroC_Currency,0)</f>
        <v>GOZ</v>
      </c>
      <c r="J84" s="115">
        <v>0</v>
      </c>
    </row>
    <row r="85" spans="3:10">
      <c r="F85" s="152" t="s">
        <v>190</v>
      </c>
      <c r="H85" s="95">
        <f ca="1">IF(DD_FLU_MicroC_Currency=2,MICROPLANNING_BA!M262,MICROPLANNING_BA!O262)</f>
        <v>33056.640909090907</v>
      </c>
      <c r="I85" s="143" t="str">
        <f ca="1">OFFSET(FLU_LU!$D$77,DD_FLU_MicroC_Currency,0)</f>
        <v>GOZ</v>
      </c>
      <c r="J85" s="115">
        <v>0</v>
      </c>
    </row>
    <row r="86" spans="3:10">
      <c r="J86" s="12"/>
    </row>
    <row r="87" spans="3:10">
      <c r="D87" s="716" t="s">
        <v>481</v>
      </c>
      <c r="E87" s="716"/>
      <c r="F87" s="716"/>
      <c r="H87" s="152" t="s">
        <v>478</v>
      </c>
    </row>
    <row r="89" spans="3:10" ht="15.6">
      <c r="D89" s="111" t="s">
        <v>480</v>
      </c>
    </row>
    <row r="90" spans="3:10">
      <c r="F90" s="667"/>
      <c r="G90" s="667"/>
      <c r="H90" s="667"/>
      <c r="I90" s="667"/>
    </row>
    <row r="91" spans="3:10">
      <c r="F91" s="667"/>
      <c r="G91" s="667"/>
      <c r="H91" s="667"/>
      <c r="I91" s="667"/>
    </row>
    <row r="92" spans="3:10">
      <c r="F92" s="667"/>
      <c r="G92" s="667"/>
      <c r="H92" s="667"/>
      <c r="I92" s="667"/>
    </row>
    <row r="93" spans="3:10">
      <c r="F93" s="667"/>
      <c r="G93" s="667"/>
      <c r="H93" s="667"/>
      <c r="I93" s="667"/>
    </row>
    <row r="95" spans="3:10" ht="15.6">
      <c r="D95" s="111" t="s">
        <v>462</v>
      </c>
      <c r="J95" s="115">
        <v>0</v>
      </c>
    </row>
    <row r="96" spans="3:10">
      <c r="J96" s="23"/>
    </row>
    <row r="97" spans="2:10" ht="15.6">
      <c r="B97" s="82" t="str">
        <f>"OUTPUT - TOTAL ACTIVITIES COST FOR "&amp;C80</f>
        <v>OUTPUT - TOTAL ACTIVITIES COST FOR [Available for Additional Microplanning Activity]</v>
      </c>
    </row>
    <row r="99" spans="2:10">
      <c r="F99" s="155" t="str">
        <f>"Total Cost ("&amp;FLU_LU!$D$78&amp;")"</f>
        <v>Total Cost (USD)</v>
      </c>
      <c r="J99" s="12"/>
    </row>
    <row r="100" spans="2:10">
      <c r="I100" s="68" t="s">
        <v>166</v>
      </c>
      <c r="J100" s="340">
        <f>IF(DD_FLU_MicroC_Currency=1,J84*J95,(J84*J95)/FLU_XCHANGE_YR1)</f>
        <v>0</v>
      </c>
    </row>
    <row r="101" spans="2:10">
      <c r="I101" s="68" t="s">
        <v>167</v>
      </c>
      <c r="J101" s="340">
        <f>IF(DD_FLU_MicroC_Currency=1,J85*J95,(J85*J95)/FLU_XCHANGE_YR1)</f>
        <v>0</v>
      </c>
    </row>
    <row r="103" spans="2:10">
      <c r="F103" s="155" t="str">
        <f>"Total Cost ("&amp;FLU_LU!$D$79&amp;")"</f>
        <v>Total Cost (GOZ)</v>
      </c>
      <c r="I103" s="68" t="s">
        <v>166</v>
      </c>
      <c r="J103" s="135">
        <f>IF(DD_FLU_MicroC_Currency=2,J84*J95,(J84*J95)*FLU_XCHANGE_YR1)</f>
        <v>0</v>
      </c>
    </row>
    <row r="104" spans="2:10">
      <c r="I104" s="68" t="s">
        <v>167</v>
      </c>
      <c r="J104" s="135">
        <f>IF(DD_FLU_MicroC_Currency=2,J85*J95,(J85*J$39)*FLU_XCHANGE_YR1)</f>
        <v>0</v>
      </c>
    </row>
    <row r="105" spans="2:10" ht="15" thickBot="1">
      <c r="C105" s="55"/>
      <c r="D105" s="55"/>
      <c r="E105" s="55"/>
      <c r="F105" s="55"/>
      <c r="G105" s="55"/>
      <c r="H105" s="55"/>
      <c r="I105" s="55"/>
      <c r="J105" s="55"/>
    </row>
  </sheetData>
  <mergeCells count="22">
    <mergeCell ref="F93:I93"/>
    <mergeCell ref="F65:I65"/>
    <mergeCell ref="D87:F87"/>
    <mergeCell ref="F90:I90"/>
    <mergeCell ref="F91:I91"/>
    <mergeCell ref="F92:I92"/>
    <mergeCell ref="F37:I37"/>
    <mergeCell ref="F62:I62"/>
    <mergeCell ref="F63:I63"/>
    <mergeCell ref="F64:I64"/>
    <mergeCell ref="F35:I35"/>
    <mergeCell ref="F36:I36"/>
    <mergeCell ref="D59:F59"/>
    <mergeCell ref="B3:E3"/>
    <mergeCell ref="D31:F31"/>
    <mergeCell ref="F34:I34"/>
    <mergeCell ref="E17:F17"/>
    <mergeCell ref="E18:F18"/>
    <mergeCell ref="E19:F19"/>
    <mergeCell ref="G17:I17"/>
    <mergeCell ref="G18:I18"/>
    <mergeCell ref="G19:I19"/>
  </mergeCells>
  <dataValidations count="2">
    <dataValidation type="custom" showErrorMessage="1" errorTitle="Invalid Assumption" error="Assumption must be a number." sqref="J28:J29 J56:J57 J39 J67 J95 J84:J85" xr:uid="{00000000-0002-0000-0E00-000000000000}">
      <formula1>NOT(ISERROR(J28/1))</formula1>
    </dataValidation>
    <dataValidation type="whole" showDropDown="1" showErrorMessage="1" errorTitle="Drop Down Box Cell Link" error="The value in a drop down box cell link must be a whole number within the control's lookup range rows." sqref="G27 G83 G55" xr:uid="{00000000-0002-0000-0E00-000001000000}">
      <formula1>1</formula1>
      <formula2>ROWS(LU_FLU_Curr_Code)</formula2>
    </dataValidation>
  </dataValidations>
  <hyperlinks>
    <hyperlink ref="C4" location="HL_Sheet_Main_61" tooltip="Go to Next Sheet" display="HL_Sheet_Main_61" xr:uid="{00000000-0004-0000-0E00-000000000000}"/>
    <hyperlink ref="D31:F31" location="HL_FLU_Micro_A_Assumptions" tooltip="Click to follow hyperlink." display="HL_FLU_Micro_A_Assumptions" xr:uid="{00000000-0004-0000-0E00-000001000000}"/>
    <hyperlink ref="D87:F87" location="HL_FLU_Micro_C_Detailed" tooltip="Click to follow hyperlink." display="HL_FLU_Micro_C_Detailed" xr:uid="{00000000-0004-0000-0E00-000002000000}"/>
    <hyperlink ref="B4" location="HL_Sheet_Main_21" tooltip="Go to Previous Sheet" display="HL_Sheet_Main_21" xr:uid="{00000000-0004-0000-0E00-000003000000}"/>
    <hyperlink ref="D59:F59" location="HL_FLU_Micro_B_Detailed" tooltip="Click to follow hyperlink." display="HL_FLU_Micro_B_Detailed" xr:uid="{00000000-0004-0000-0E00-000004000000}"/>
    <hyperlink ref="A4" location="$B$10" tooltip="Go to Top of Sheet" display="$B$10" xr:uid="{00000000-0004-0000-0E00-000005000000}"/>
    <hyperlink ref="B3" location="HL_Home" tooltip="Go to Table of Contents" display="HL_Home" xr:uid="{00000000-0004-0000-0E00-000006000000}"/>
    <hyperlink ref="D4" location="HL_Err_Chk" tooltip="Go to Error Checks" display="HL_Err_Chk" xr:uid="{00000000-0004-0000-0E00-000007000000}"/>
    <hyperlink ref="E4" location="HL_Sens_Chk" tooltip="Go to Sensitivity Checks" display="HL_Sens_Chk" xr:uid="{00000000-0004-0000-0E00-000008000000}"/>
    <hyperlink ref="F4" location="HL_Alt_Chk" tooltip="Go to Alert Checks" display="HL_Alt_Chk" xr:uid="{00000000-0004-0000-0E00-000009000000}"/>
  </hyperlinks>
  <pageMargins left="0.4" right="0.4" top="0.6" bottom="1" header="0" footer="0.3"/>
  <pageSetup orientation="landscape" horizontalDpi="4294967292" verticalDpi="0" r:id="rId1"/>
  <headerFooter>
    <oddFooter>&amp;L&amp;F
&amp;A
Printed: &amp;T on &amp;D&amp;C&amp;",Bold"Sheet g.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0035" r:id="rId4" name="bpmDropDownFLU1407">
              <controlPr defaultSize="0" autoFill="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940040" r:id="rId5" name="bpmDropDownFLU2">
              <controlPr defaultSize="0" autoFill="0" autoPict="0">
                <anchor mov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940039" r:id="rId6" name="bpmDropDownFLU1736">
              <controlPr defaultSize="0" autoFill="0" autoPict="0">
                <anchor moveWithCells="1">
                  <from>
                    <xdr:col>6</xdr:col>
                    <xdr:colOff>0</xdr:colOff>
                    <xdr:row>54</xdr:row>
                    <xdr:rowOff>0</xdr:rowOff>
                  </from>
                  <to>
                    <xdr:col>7</xdr:col>
                    <xdr:colOff>0</xdr:colOff>
                    <xdr:row>55</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indexed="12"/>
    <pageSetUpPr autoPageBreaks="0"/>
  </sheetPr>
  <dimension ref="A1:N327"/>
  <sheetViews>
    <sheetView showGridLines="0" zoomScaleNormal="100" workbookViewId="0">
      <pane xSplit="1" ySplit="9" topLeftCell="B10" activePane="bottomRight" state="frozenSplit"/>
      <selection pane="topRight"/>
      <selection pane="bottomLeft"/>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4" width="15.6640625" style="134" customWidth="1"/>
    <col min="15" max="16384" width="11.6640625" style="134"/>
  </cols>
  <sheetData>
    <row r="1" spans="1:14" ht="21">
      <c r="B1" s="46" t="s">
        <v>409</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1" spans="1:14" s="23" customFormat="1" ht="17.399999999999999">
      <c r="B11" s="15" t="s">
        <v>527</v>
      </c>
    </row>
    <row r="13" spans="1:14">
      <c r="B13" s="23"/>
      <c r="C13" s="152" t="s">
        <v>484</v>
      </c>
    </row>
    <row r="15" spans="1:14" s="23" customFormat="1">
      <c r="C15" s="152" t="s">
        <v>90</v>
      </c>
      <c r="J15" s="249" t="s">
        <v>279</v>
      </c>
    </row>
    <row r="16" spans="1:14" s="23" customFormat="1">
      <c r="C16" s="153" t="str">
        <f>TGT_POPS!D111</f>
        <v>Target Group 1</v>
      </c>
      <c r="J16" s="18"/>
    </row>
    <row r="17" spans="3:10" s="23" customFormat="1" outlineLevel="1">
      <c r="C17" s="333" t="str">
        <f>TGT_POPS!D112</f>
        <v>Front Line Health Workers working in facilities with more than 200 workers</v>
      </c>
      <c r="J17" s="210">
        <f>TGT_POPS!J112</f>
        <v>1734</v>
      </c>
    </row>
    <row r="18" spans="3:10" s="23" customFormat="1" outlineLevel="1">
      <c r="C18" s="159" t="str">
        <f>TGT_POPS!D113</f>
        <v>Front Line Health Workers working in facilities with 100 to 200 workers</v>
      </c>
      <c r="J18" s="210">
        <f>TGT_POPS!J113</f>
        <v>2414.2999999999997</v>
      </c>
    </row>
    <row r="19" spans="3:10" s="23" customFormat="1" outlineLevel="1">
      <c r="C19" s="159" t="str">
        <f>TGT_POPS!D114</f>
        <v>Front Line Health Workers working in facilities with fewer than 100 workers</v>
      </c>
      <c r="J19" s="209">
        <f>TGT_POPS!J114</f>
        <v>4900</v>
      </c>
    </row>
    <row r="20" spans="3:10" s="23" customFormat="1">
      <c r="C20" s="332" t="str">
        <f>"Total "&amp;C16</f>
        <v>Total Target Group 1</v>
      </c>
      <c r="J20" s="195">
        <f>SUM(J17:J19)</f>
        <v>9048.2999999999993</v>
      </c>
    </row>
    <row r="21" spans="3:10" s="23" customFormat="1" ht="7.5" customHeight="1">
      <c r="C21" s="134"/>
      <c r="J21" s="134"/>
    </row>
    <row r="22" spans="3:10" s="23" customFormat="1">
      <c r="C22" s="153" t="str">
        <f>TGT_POPS!D117</f>
        <v>Target Group 2 [not in use]</v>
      </c>
      <c r="J22" s="18"/>
    </row>
    <row r="23" spans="3:10" s="23" customFormat="1" outlineLevel="1">
      <c r="C23" s="333">
        <f>TGT_POPS!D118</f>
        <v>0</v>
      </c>
      <c r="J23" s="210">
        <f>TGT_POPS!J118</f>
        <v>0</v>
      </c>
    </row>
    <row r="24" spans="3:10" s="23" customFormat="1" outlineLevel="1">
      <c r="C24" s="333">
        <f>TGT_POPS!D119</f>
        <v>0</v>
      </c>
      <c r="J24" s="209">
        <f>TGT_POPS!J119</f>
        <v>0</v>
      </c>
    </row>
    <row r="25" spans="3:10" s="23" customFormat="1">
      <c r="C25" s="332" t="str">
        <f>"Total "&amp;C22</f>
        <v>Total Target Group 2 [not in use]</v>
      </c>
      <c r="J25" s="195">
        <f>SUM(J23:J24)</f>
        <v>0</v>
      </c>
    </row>
    <row r="26" spans="3:10" s="23" customFormat="1" ht="7.5" customHeight="1">
      <c r="C26" s="134"/>
      <c r="J26" s="134"/>
    </row>
    <row r="27" spans="3:10" s="23" customFormat="1">
      <c r="C27" s="153" t="str">
        <f>TGT_POPS!D122</f>
        <v>Target Group 3 [not in use]</v>
      </c>
      <c r="J27" s="18"/>
    </row>
    <row r="28" spans="3:10" s="23" customFormat="1" outlineLevel="1">
      <c r="C28" s="333">
        <f>TGT_POPS!D123</f>
        <v>0</v>
      </c>
      <c r="J28" s="210">
        <f>TGT_POPS!J123</f>
        <v>0</v>
      </c>
    </row>
    <row r="29" spans="3:10" s="23" customFormat="1" outlineLevel="1">
      <c r="C29" s="333">
        <f>TGT_POPS!D124</f>
        <v>0</v>
      </c>
      <c r="J29" s="209">
        <f>TGT_POPS!J124</f>
        <v>0</v>
      </c>
    </row>
    <row r="30" spans="3:10" s="23" customFormat="1">
      <c r="C30" s="332" t="str">
        <f>"Total "&amp;C27</f>
        <v>Total Target Group 3 [not in use]</v>
      </c>
      <c r="J30" s="195">
        <f>SUM(J28:J29)</f>
        <v>0</v>
      </c>
    </row>
    <row r="31" spans="3:10" s="23" customFormat="1" ht="7.5" customHeight="1">
      <c r="C31" s="134"/>
      <c r="J31" s="134"/>
    </row>
    <row r="32" spans="3:10" s="23" customFormat="1">
      <c r="C32" s="153" t="str">
        <f>TGT_POPS!D127</f>
        <v>Target Group 4 [not in use]</v>
      </c>
      <c r="J32" s="18"/>
    </row>
    <row r="33" spans="2:10" s="23" customFormat="1" outlineLevel="1">
      <c r="C33" s="333">
        <f>TGT_POPS!D128</f>
        <v>0</v>
      </c>
      <c r="J33" s="210">
        <f>TGT_POPS!J128</f>
        <v>0</v>
      </c>
    </row>
    <row r="34" spans="2:10" s="23" customFormat="1" outlineLevel="1">
      <c r="C34" s="333">
        <f>TGT_POPS!D129</f>
        <v>0</v>
      </c>
      <c r="J34" s="210">
        <f>TGT_POPS!J129</f>
        <v>0</v>
      </c>
    </row>
    <row r="35" spans="2:10" s="23" customFormat="1" outlineLevel="1">
      <c r="C35" s="333">
        <f>TGT_POPS!D130</f>
        <v>0</v>
      </c>
      <c r="J35" s="210">
        <f>TGT_POPS!J130</f>
        <v>0</v>
      </c>
    </row>
    <row r="36" spans="2:10" s="23" customFormat="1" outlineLevel="1">
      <c r="C36" s="333">
        <f>TGT_POPS!D131</f>
        <v>0</v>
      </c>
      <c r="J36" s="210">
        <f>TGT_POPS!J131</f>
        <v>0</v>
      </c>
    </row>
    <row r="37" spans="2:10" s="23" customFormat="1" outlineLevel="1">
      <c r="C37" s="333">
        <f>TGT_POPS!D132</f>
        <v>0</v>
      </c>
      <c r="J37" s="209">
        <f>TGT_POPS!J132</f>
        <v>0</v>
      </c>
    </row>
    <row r="38" spans="2:10" s="23" customFormat="1">
      <c r="C38" s="332" t="str">
        <f>"Total "&amp;C32</f>
        <v>Total Target Group 4 [not in use]</v>
      </c>
      <c r="J38" s="195">
        <f>SUM(J33:J37)</f>
        <v>0</v>
      </c>
    </row>
    <row r="39" spans="2:10" s="23" customFormat="1" ht="7.5" customHeight="1">
      <c r="C39" s="12"/>
      <c r="J39" s="12"/>
    </row>
    <row r="40" spans="2:10" s="23" customFormat="1">
      <c r="C40" s="152" t="s">
        <v>378</v>
      </c>
      <c r="J40" s="195">
        <f>SUM(J20,J25,J30,J38)</f>
        <v>9048.2999999999993</v>
      </c>
    </row>
    <row r="41" spans="2:10" s="23" customFormat="1"/>
    <row r="42" spans="2:10" s="23" customFormat="1">
      <c r="B42" s="20"/>
      <c r="C42" s="20"/>
      <c r="D42" s="20"/>
      <c r="E42" s="20"/>
      <c r="F42" s="20"/>
      <c r="G42" s="20"/>
      <c r="H42" s="20"/>
      <c r="I42" s="20"/>
      <c r="J42" s="20"/>
    </row>
    <row r="43" spans="2:10" s="23" customFormat="1"/>
    <row r="44" spans="2:10" s="23" customFormat="1">
      <c r="C44" s="152" t="s">
        <v>483</v>
      </c>
      <c r="D44" s="152" t="s">
        <v>485</v>
      </c>
    </row>
    <row r="45" spans="2:10" s="23" customFormat="1">
      <c r="D45" s="152" t="s">
        <v>486</v>
      </c>
    </row>
    <row r="46" spans="2:10" s="23" customFormat="1"/>
    <row r="47" spans="2:10" s="23" customFormat="1">
      <c r="E47" s="152" t="s">
        <v>122</v>
      </c>
      <c r="F47" s="152" t="s">
        <v>100</v>
      </c>
      <c r="J47" s="152" t="s">
        <v>380</v>
      </c>
    </row>
    <row r="48" spans="2:10" s="23" customFormat="1">
      <c r="E48" s="152" t="s">
        <v>414</v>
      </c>
      <c r="F48" s="151" t="s">
        <v>379</v>
      </c>
      <c r="J48" s="115">
        <v>21000</v>
      </c>
    </row>
    <row r="49" spans="5:10" s="23" customFormat="1">
      <c r="E49" s="152" t="s">
        <v>415</v>
      </c>
      <c r="F49" s="151" t="s">
        <v>389</v>
      </c>
      <c r="J49" s="202">
        <v>303</v>
      </c>
    </row>
    <row r="50" spans="5:10" s="23" customFormat="1" ht="15" thickBot="1">
      <c r="I50" s="61"/>
      <c r="J50" s="528">
        <f>SUM(J48:J49)</f>
        <v>21303</v>
      </c>
    </row>
    <row r="51" spans="5:10" s="23" customFormat="1" ht="15" thickTop="1">
      <c r="I51" s="61"/>
      <c r="J51" s="662"/>
    </row>
    <row r="52" spans="5:10" s="23" customFormat="1">
      <c r="E52" s="152" t="s">
        <v>876</v>
      </c>
      <c r="I52" s="61"/>
      <c r="J52" s="662"/>
    </row>
    <row r="53" spans="5:10" s="23" customFormat="1">
      <c r="E53" s="735"/>
      <c r="F53" s="736"/>
      <c r="I53" s="61"/>
      <c r="J53" s="662"/>
    </row>
    <row r="54" spans="5:10" s="23" customFormat="1">
      <c r="E54" s="735"/>
      <c r="F54" s="736"/>
      <c r="I54" s="61"/>
      <c r="J54" s="662"/>
    </row>
    <row r="55" spans="5:10" s="23" customFormat="1">
      <c r="E55" s="735"/>
      <c r="F55" s="736"/>
      <c r="I55" s="61"/>
      <c r="J55" s="662"/>
    </row>
    <row r="56" spans="5:10" s="23" customFormat="1">
      <c r="I56" s="61"/>
      <c r="J56" s="662"/>
    </row>
    <row r="57" spans="5:10" s="23" customFormat="1">
      <c r="E57" s="152" t="s">
        <v>410</v>
      </c>
      <c r="F57" s="152" t="s">
        <v>100</v>
      </c>
      <c r="J57" s="152" t="s">
        <v>411</v>
      </c>
    </row>
    <row r="58" spans="5:10" s="23" customFormat="1">
      <c r="E58" s="68" t="s">
        <v>412</v>
      </c>
      <c r="F58" s="151" t="s">
        <v>390</v>
      </c>
      <c r="J58" s="115">
        <v>303</v>
      </c>
    </row>
    <row r="59" spans="5:10" s="23" customFormat="1">
      <c r="E59" s="68" t="s">
        <v>413</v>
      </c>
      <c r="F59" s="151" t="s">
        <v>404</v>
      </c>
      <c r="J59" s="115">
        <v>211</v>
      </c>
    </row>
    <row r="60" spans="5:10" s="23" customFormat="1">
      <c r="I60" s="61"/>
      <c r="J60" s="662"/>
    </row>
    <row r="61" spans="5:10" s="23" customFormat="1">
      <c r="E61" s="152" t="s">
        <v>876</v>
      </c>
      <c r="I61" s="61"/>
      <c r="J61" s="662"/>
    </row>
    <row r="62" spans="5:10" s="23" customFormat="1">
      <c r="E62" s="735"/>
      <c r="F62" s="736"/>
      <c r="I62" s="61"/>
      <c r="J62" s="662"/>
    </row>
    <row r="63" spans="5:10" s="23" customFormat="1">
      <c r="E63" s="735"/>
      <c r="F63" s="736"/>
      <c r="I63" s="61"/>
      <c r="J63" s="662"/>
    </row>
    <row r="64" spans="5:10" s="23" customFormat="1">
      <c r="E64" s="735"/>
      <c r="F64" s="736"/>
      <c r="I64" s="61"/>
      <c r="J64" s="662"/>
    </row>
    <row r="65" spans="3:10" s="23" customFormat="1"/>
    <row r="66" spans="3:10" s="23" customFormat="1">
      <c r="C66" s="152" t="s">
        <v>487</v>
      </c>
      <c r="D66" s="152" t="s">
        <v>489</v>
      </c>
    </row>
    <row r="67" spans="3:10" s="23" customFormat="1"/>
    <row r="68" spans="3:10" s="23" customFormat="1">
      <c r="E68" s="153" t="str">
        <f t="shared" ref="E68:F70" si="0">E47</f>
        <v>Vaccines</v>
      </c>
      <c r="F68" s="153" t="str">
        <f t="shared" si="0"/>
        <v>Name</v>
      </c>
      <c r="G68" s="152" t="s">
        <v>402</v>
      </c>
      <c r="J68" s="152" t="s">
        <v>416</v>
      </c>
    </row>
    <row r="69" spans="3:10" s="23" customFormat="1">
      <c r="E69" s="333" t="str">
        <f t="shared" si="0"/>
        <v>Vaccine Type 1</v>
      </c>
      <c r="F69" s="96" t="str">
        <f t="shared" si="0"/>
        <v>Single Vaccine Dose in Prefilled Auto-Destruct Syringe</v>
      </c>
      <c r="G69" s="121">
        <v>0.01</v>
      </c>
      <c r="J69" s="16">
        <f>J48*G69</f>
        <v>210</v>
      </c>
    </row>
    <row r="70" spans="3:10" s="23" customFormat="1">
      <c r="E70" s="333" t="str">
        <f t="shared" si="0"/>
        <v>Vaccine Type 2</v>
      </c>
      <c r="F70" s="96" t="str">
        <f t="shared" si="0"/>
        <v>Single Vaccine Dose in Vial</v>
      </c>
      <c r="G70" s="121">
        <v>0.05</v>
      </c>
      <c r="J70" s="16">
        <f>J49*G70</f>
        <v>15.15</v>
      </c>
    </row>
    <row r="71" spans="3:10" s="23" customFormat="1">
      <c r="I71" s="61"/>
      <c r="J71" s="662"/>
    </row>
    <row r="72" spans="3:10" s="23" customFormat="1">
      <c r="E72" s="152" t="s">
        <v>876</v>
      </c>
      <c r="I72" s="61"/>
      <c r="J72" s="662"/>
    </row>
    <row r="73" spans="3:10" s="23" customFormat="1">
      <c r="E73" s="735"/>
      <c r="F73" s="736"/>
      <c r="I73" s="61"/>
      <c r="J73" s="662"/>
    </row>
    <row r="74" spans="3:10" s="23" customFormat="1">
      <c r="E74" s="735"/>
      <c r="F74" s="736"/>
      <c r="I74" s="61"/>
      <c r="J74" s="662"/>
    </row>
    <row r="75" spans="3:10" s="23" customFormat="1">
      <c r="E75" s="735"/>
      <c r="F75" s="736"/>
      <c r="I75" s="61"/>
      <c r="J75" s="662"/>
    </row>
    <row r="76" spans="3:10" s="23" customFormat="1"/>
    <row r="77" spans="3:10" s="23" customFormat="1">
      <c r="E77" s="153" t="str">
        <f t="shared" ref="E77:F79" si="1">E57</f>
        <v>Injection Supplies</v>
      </c>
      <c r="F77" s="153" t="str">
        <f t="shared" si="1"/>
        <v>Name</v>
      </c>
      <c r="G77" s="152" t="s">
        <v>402</v>
      </c>
      <c r="J77" s="152" t="s">
        <v>416</v>
      </c>
    </row>
    <row r="78" spans="3:10" s="23" customFormat="1">
      <c r="E78" s="333" t="str">
        <f t="shared" si="1"/>
        <v>Inj Supply 1</v>
      </c>
      <c r="F78" s="96" t="str">
        <f t="shared" si="1"/>
        <v>Auto Destruct Injection Syringe</v>
      </c>
      <c r="G78" s="121">
        <v>0.05</v>
      </c>
      <c r="J78" s="16">
        <f>J58*G78</f>
        <v>15.15</v>
      </c>
    </row>
    <row r="79" spans="3:10" s="23" customFormat="1">
      <c r="E79" s="333" t="str">
        <f t="shared" si="1"/>
        <v>Inj Supply 2</v>
      </c>
      <c r="F79" s="96" t="str">
        <f t="shared" si="1"/>
        <v>Safety Box (100 capacity) to hold administered syringes</v>
      </c>
      <c r="G79" s="121">
        <v>0</v>
      </c>
      <c r="J79" s="16">
        <f>J59*G79</f>
        <v>0</v>
      </c>
    </row>
    <row r="80" spans="3:10" s="23" customFormat="1">
      <c r="I80" s="61"/>
      <c r="J80" s="662"/>
    </row>
    <row r="81" spans="3:10" s="23" customFormat="1">
      <c r="E81" s="152" t="s">
        <v>876</v>
      </c>
      <c r="I81" s="61"/>
      <c r="J81" s="662"/>
    </row>
    <row r="82" spans="3:10" s="23" customFormat="1">
      <c r="E82" s="735"/>
      <c r="F82" s="736"/>
      <c r="I82" s="61"/>
      <c r="J82" s="662"/>
    </row>
    <row r="83" spans="3:10" s="23" customFormat="1">
      <c r="E83" s="735"/>
      <c r="F83" s="736"/>
      <c r="I83" s="61"/>
      <c r="J83" s="662"/>
    </row>
    <row r="84" spans="3:10" s="23" customFormat="1">
      <c r="E84" s="735"/>
      <c r="F84" s="736"/>
      <c r="I84" s="61"/>
      <c r="J84" s="662"/>
    </row>
    <row r="85" spans="3:10" s="23" customFormat="1"/>
    <row r="86" spans="3:10" s="23" customFormat="1">
      <c r="C86" s="152" t="s">
        <v>488</v>
      </c>
      <c r="D86" s="152" t="s">
        <v>490</v>
      </c>
    </row>
    <row r="87" spans="3:10" s="23" customFormat="1"/>
    <row r="88" spans="3:10" s="23" customFormat="1">
      <c r="E88" s="153" t="str">
        <f t="shared" ref="E88:F90" si="2">E47</f>
        <v>Vaccines</v>
      </c>
      <c r="F88" s="130" t="str">
        <f t="shared" si="2"/>
        <v>Name</v>
      </c>
      <c r="G88" s="131" t="s">
        <v>381</v>
      </c>
      <c r="J88" s="152" t="s">
        <v>417</v>
      </c>
    </row>
    <row r="89" spans="3:10" s="23" customFormat="1">
      <c r="E89" s="333" t="str">
        <f t="shared" si="2"/>
        <v>Vaccine Type 1</v>
      </c>
      <c r="F89" s="96" t="str">
        <f t="shared" si="2"/>
        <v>Single Vaccine Dose in Prefilled Auto-Destruct Syringe</v>
      </c>
      <c r="G89" s="121">
        <v>0</v>
      </c>
      <c r="J89" s="16">
        <f>J48*G89</f>
        <v>0</v>
      </c>
    </row>
    <row r="90" spans="3:10" s="23" customFormat="1">
      <c r="E90" s="333" t="str">
        <f t="shared" si="2"/>
        <v>Vaccine Type 2</v>
      </c>
      <c r="F90" s="96" t="str">
        <f t="shared" si="2"/>
        <v>Single Vaccine Dose in Vial</v>
      </c>
      <c r="G90" s="121">
        <v>0</v>
      </c>
      <c r="J90" s="16">
        <f>J49*G90</f>
        <v>0</v>
      </c>
    </row>
    <row r="91" spans="3:10" s="23" customFormat="1">
      <c r="I91" s="61"/>
      <c r="J91" s="662"/>
    </row>
    <row r="92" spans="3:10" s="23" customFormat="1">
      <c r="E92" s="152" t="s">
        <v>876</v>
      </c>
      <c r="I92" s="61"/>
      <c r="J92" s="662"/>
    </row>
    <row r="93" spans="3:10" s="23" customFormat="1">
      <c r="E93" s="735"/>
      <c r="F93" s="736"/>
      <c r="I93" s="61"/>
      <c r="J93" s="662"/>
    </row>
    <row r="94" spans="3:10" s="23" customFormat="1">
      <c r="E94" s="735"/>
      <c r="F94" s="736"/>
      <c r="I94" s="61"/>
      <c r="J94" s="662"/>
    </row>
    <row r="95" spans="3:10" s="23" customFormat="1">
      <c r="E95" s="735"/>
      <c r="F95" s="736"/>
      <c r="I95" s="61"/>
      <c r="J95" s="662"/>
    </row>
    <row r="96" spans="3:10" s="23" customFormat="1"/>
    <row r="97" spans="2:10" s="23" customFormat="1">
      <c r="E97" s="153" t="str">
        <f t="shared" ref="E97:F99" si="3">E57</f>
        <v>Injection Supplies</v>
      </c>
      <c r="F97" s="153" t="str">
        <f t="shared" si="3"/>
        <v>Name</v>
      </c>
      <c r="G97" s="131" t="s">
        <v>381</v>
      </c>
      <c r="J97" s="152" t="s">
        <v>417</v>
      </c>
    </row>
    <row r="98" spans="2:10" s="23" customFormat="1">
      <c r="E98" s="333" t="str">
        <f t="shared" si="3"/>
        <v>Inj Supply 1</v>
      </c>
      <c r="F98" s="333" t="str">
        <f t="shared" si="3"/>
        <v>Auto Destruct Injection Syringe</v>
      </c>
      <c r="G98" s="121">
        <v>0</v>
      </c>
      <c r="J98" s="16">
        <f>J58*G98</f>
        <v>0</v>
      </c>
    </row>
    <row r="99" spans="2:10" s="23" customFormat="1">
      <c r="E99" s="333" t="str">
        <f t="shared" si="3"/>
        <v>Inj Supply 2</v>
      </c>
      <c r="F99" s="333" t="str">
        <f t="shared" si="3"/>
        <v>Safety Box (100 capacity) to hold administered syringes</v>
      </c>
      <c r="G99" s="121">
        <v>0</v>
      </c>
      <c r="J99" s="16">
        <f>J59*G99</f>
        <v>0</v>
      </c>
    </row>
    <row r="100" spans="2:10" s="23" customFormat="1">
      <c r="I100" s="61"/>
      <c r="J100" s="662"/>
    </row>
    <row r="101" spans="2:10" s="23" customFormat="1">
      <c r="E101" s="152" t="s">
        <v>876</v>
      </c>
      <c r="I101" s="61"/>
      <c r="J101" s="662"/>
    </row>
    <row r="102" spans="2:10" s="23" customFormat="1">
      <c r="E102" s="735"/>
      <c r="F102" s="736"/>
      <c r="I102" s="61"/>
      <c r="J102" s="662"/>
    </row>
    <row r="103" spans="2:10" s="23" customFormat="1">
      <c r="E103" s="735"/>
      <c r="F103" s="736"/>
      <c r="I103" s="61"/>
      <c r="J103" s="662"/>
    </row>
    <row r="104" spans="2:10" s="23" customFormat="1">
      <c r="E104" s="735"/>
      <c r="F104" s="736"/>
      <c r="I104" s="61"/>
      <c r="J104" s="662"/>
    </row>
    <row r="105" spans="2:10" s="23" customFormat="1"/>
    <row r="106" spans="2:10" s="23" customFormat="1">
      <c r="B106" s="20"/>
      <c r="C106" s="20"/>
      <c r="D106" s="20"/>
      <c r="E106" s="20"/>
      <c r="F106" s="20"/>
      <c r="G106" s="20"/>
      <c r="H106" s="20"/>
      <c r="I106" s="20"/>
      <c r="J106" s="20"/>
    </row>
    <row r="107" spans="2:10" s="23" customFormat="1"/>
    <row r="108" spans="2:10" s="23" customFormat="1" ht="17.399999999999999">
      <c r="B108" s="15" t="s">
        <v>491</v>
      </c>
    </row>
    <row r="109" spans="2:10" s="23" customFormat="1"/>
    <row r="110" spans="2:10" s="23" customFormat="1">
      <c r="E110" s="153" t="str">
        <f t="shared" ref="E110:F112" si="4">E47</f>
        <v>Vaccines</v>
      </c>
      <c r="F110" s="153" t="str">
        <f t="shared" si="4"/>
        <v>Name</v>
      </c>
      <c r="J110" s="152" t="s">
        <v>418</v>
      </c>
    </row>
    <row r="111" spans="2:10" s="23" customFormat="1">
      <c r="E111" s="333" t="str">
        <f t="shared" si="4"/>
        <v>Vaccine Type 1</v>
      </c>
      <c r="F111" s="96" t="str">
        <f t="shared" si="4"/>
        <v>Single Vaccine Dose in Prefilled Auto-Destruct Syringe</v>
      </c>
      <c r="J111" s="17">
        <f>J48+J69+J89</f>
        <v>21210</v>
      </c>
    </row>
    <row r="112" spans="2:10" s="23" customFormat="1">
      <c r="E112" s="333" t="str">
        <f t="shared" si="4"/>
        <v>Vaccine Type 2</v>
      </c>
      <c r="F112" s="96" t="str">
        <f t="shared" si="4"/>
        <v>Single Vaccine Dose in Vial</v>
      </c>
      <c r="J112" s="17">
        <f>J49+J70+J90</f>
        <v>318.14999999999998</v>
      </c>
    </row>
    <row r="113" spans="2:10" s="23" customFormat="1"/>
    <row r="114" spans="2:10" s="23" customFormat="1">
      <c r="E114" s="153" t="str">
        <f t="shared" ref="E114:F116" si="5">E57</f>
        <v>Injection Supplies</v>
      </c>
      <c r="F114" s="153" t="str">
        <f t="shared" si="5"/>
        <v>Name</v>
      </c>
      <c r="J114" s="152" t="s">
        <v>418</v>
      </c>
    </row>
    <row r="115" spans="2:10" s="23" customFormat="1">
      <c r="E115" s="333" t="str">
        <f t="shared" si="5"/>
        <v>Inj Supply 1</v>
      </c>
      <c r="F115" s="333" t="str">
        <f t="shared" si="5"/>
        <v>Auto Destruct Injection Syringe</v>
      </c>
      <c r="J115" s="17">
        <f>J58+J78+J98</f>
        <v>318.14999999999998</v>
      </c>
    </row>
    <row r="116" spans="2:10" s="23" customFormat="1">
      <c r="E116" s="333" t="str">
        <f t="shared" si="5"/>
        <v>Inj Supply 2</v>
      </c>
      <c r="F116" s="333" t="str">
        <f t="shared" si="5"/>
        <v>Safety Box (100 capacity) to hold administered syringes</v>
      </c>
      <c r="J116" s="17">
        <f>J59+J79+J99</f>
        <v>211</v>
      </c>
    </row>
    <row r="117" spans="2:10" s="23" customFormat="1" ht="15" thickBot="1">
      <c r="B117" s="55"/>
      <c r="C117" s="55"/>
      <c r="D117" s="55"/>
      <c r="E117" s="55"/>
      <c r="F117" s="55"/>
      <c r="G117" s="55"/>
      <c r="H117" s="55"/>
      <c r="I117" s="55"/>
      <c r="J117" s="55"/>
    </row>
    <row r="118" spans="2:10" s="23" customFormat="1"/>
    <row r="119" spans="2:10" s="23" customFormat="1" ht="17.399999999999999">
      <c r="B119" s="15" t="s">
        <v>428</v>
      </c>
    </row>
    <row r="120" spans="2:10" s="23" customFormat="1"/>
    <row r="121" spans="2:10" s="23" customFormat="1">
      <c r="C121" s="152" t="s">
        <v>445</v>
      </c>
      <c r="D121" s="152" t="s">
        <v>492</v>
      </c>
    </row>
    <row r="122" spans="2:10" s="23" customFormat="1">
      <c r="F122" s="152" t="s">
        <v>100</v>
      </c>
      <c r="G122" s="152" t="s">
        <v>84</v>
      </c>
    </row>
    <row r="123" spans="2:10" s="23" customFormat="1">
      <c r="E123" s="152" t="s">
        <v>382</v>
      </c>
      <c r="F123" s="151" t="s">
        <v>385</v>
      </c>
      <c r="G123" s="151" t="s">
        <v>375</v>
      </c>
    </row>
    <row r="124" spans="2:10" s="23" customFormat="1">
      <c r="E124" s="152" t="s">
        <v>383</v>
      </c>
      <c r="F124" s="151" t="s">
        <v>282</v>
      </c>
      <c r="G124" s="151" t="s">
        <v>374</v>
      </c>
    </row>
    <row r="125" spans="2:10" s="23" customFormat="1">
      <c r="E125" s="152" t="s">
        <v>384</v>
      </c>
      <c r="F125" s="151" t="s">
        <v>376</v>
      </c>
      <c r="G125" s="151" t="s">
        <v>377</v>
      </c>
    </row>
    <row r="126" spans="2:10" s="23" customFormat="1">
      <c r="I126" s="61"/>
      <c r="J126" s="662"/>
    </row>
    <row r="127" spans="2:10" s="23" customFormat="1">
      <c r="E127" s="152" t="s">
        <v>876</v>
      </c>
      <c r="I127" s="61"/>
      <c r="J127" s="662"/>
    </row>
    <row r="128" spans="2:10" s="23" customFormat="1">
      <c r="E128" s="735"/>
      <c r="F128" s="736"/>
      <c r="I128" s="61"/>
      <c r="J128" s="662"/>
    </row>
    <row r="129" spans="2:10" s="23" customFormat="1">
      <c r="E129" s="735"/>
      <c r="F129" s="736"/>
      <c r="I129" s="61"/>
      <c r="J129" s="662"/>
    </row>
    <row r="130" spans="2:10" s="23" customFormat="1">
      <c r="E130" s="735"/>
      <c r="F130" s="736"/>
      <c r="I130" s="61"/>
      <c r="J130" s="662"/>
    </row>
    <row r="131" spans="2:10" s="23" customFormat="1" ht="15" thickBot="1">
      <c r="B131" s="55"/>
      <c r="C131" s="55"/>
      <c r="D131" s="55"/>
      <c r="E131" s="55"/>
      <c r="F131" s="55"/>
      <c r="G131" s="55"/>
      <c r="H131" s="55"/>
      <c r="I131" s="55"/>
      <c r="J131" s="55"/>
    </row>
    <row r="132" spans="2:10" s="23" customFormat="1"/>
    <row r="133" spans="2:10" ht="17.399999999999999">
      <c r="B133" s="81" t="str">
        <f>"Input - Cost Estimate for Procuring "&amp;C134</f>
        <v>Input - Cost Estimate for Procuring Single Vaccine Dose in Prefilled Auto-Destruct Syringe</v>
      </c>
    </row>
    <row r="134" spans="2:10" s="23" customFormat="1">
      <c r="C134" s="153" t="str">
        <f>F48</f>
        <v>Single Vaccine Dose in Prefilled Auto-Destruct Syringe</v>
      </c>
    </row>
    <row r="135" spans="2:10" s="23" customFormat="1" ht="15" thickBot="1">
      <c r="G135" s="133" t="str">
        <f>G$123&amp;" ("&amp;Lbl_Curr_Intl_ABBR&amp;")"</f>
        <v>Commercial (USD)</v>
      </c>
      <c r="H135" s="133" t="str">
        <f>G$124&amp;" ("&amp;Lbl_Curr_Intl_ABBR&amp;")"</f>
        <v>PIVI (USD)</v>
      </c>
      <c r="I135" s="133" t="str">
        <f>G$125&amp;" ("&amp;Lbl_Curr_Intl_ABBR&amp;")"</f>
        <v>MoH (USD)</v>
      </c>
    </row>
    <row r="136" spans="2:10" s="23" customFormat="1">
      <c r="E136" s="12" t="s">
        <v>395</v>
      </c>
      <c r="G136" s="199">
        <v>5.3</v>
      </c>
      <c r="H136" s="199">
        <v>0</v>
      </c>
      <c r="I136" s="199">
        <v>0</v>
      </c>
    </row>
    <row r="137" spans="2:10" s="23" customFormat="1">
      <c r="E137" s="12" t="s">
        <v>393</v>
      </c>
      <c r="G137" s="14">
        <f>G156</f>
        <v>0</v>
      </c>
      <c r="H137" s="14">
        <f>H156</f>
        <v>0</v>
      </c>
      <c r="I137" s="14">
        <f>I156</f>
        <v>0</v>
      </c>
    </row>
    <row r="138" spans="2:10" s="23" customFormat="1">
      <c r="E138" s="12" t="s">
        <v>391</v>
      </c>
      <c r="G138" s="165">
        <f>G136+G137</f>
        <v>5.3</v>
      </c>
      <c r="H138" s="165">
        <f>H136+H137</f>
        <v>0</v>
      </c>
      <c r="I138" s="165">
        <f>I136+I137</f>
        <v>0</v>
      </c>
    </row>
    <row r="139" spans="2:10" s="23" customFormat="1">
      <c r="E139" s="12" t="s">
        <v>392</v>
      </c>
      <c r="G139" s="200">
        <v>0</v>
      </c>
      <c r="H139" s="200">
        <v>0</v>
      </c>
      <c r="I139" s="200">
        <v>0</v>
      </c>
    </row>
    <row r="140" spans="2:10" s="23" customFormat="1" ht="15" thickBot="1">
      <c r="E140" s="12" t="s">
        <v>394</v>
      </c>
      <c r="G140" s="128">
        <f>G138-G139</f>
        <v>5.3</v>
      </c>
      <c r="H140" s="58">
        <f>H138-H139</f>
        <v>0</v>
      </c>
      <c r="I140" s="58">
        <f>I138-I139</f>
        <v>0</v>
      </c>
    </row>
    <row r="141" spans="2:10" s="23" customFormat="1" ht="15" thickTop="1">
      <c r="I141" s="61"/>
      <c r="J141" s="662"/>
    </row>
    <row r="142" spans="2:10" s="23" customFormat="1">
      <c r="E142" s="152" t="s">
        <v>876</v>
      </c>
      <c r="I142" s="61"/>
      <c r="J142" s="662"/>
    </row>
    <row r="143" spans="2:10" s="23" customFormat="1">
      <c r="E143" s="735"/>
      <c r="F143" s="736"/>
      <c r="I143" s="61"/>
      <c r="J143" s="662"/>
    </row>
    <row r="144" spans="2:10" s="23" customFormat="1">
      <c r="E144" s="735"/>
      <c r="F144" s="736"/>
      <c r="I144" s="61"/>
      <c r="J144" s="662"/>
    </row>
    <row r="145" spans="5:10" s="23" customFormat="1">
      <c r="E145" s="735"/>
      <c r="F145" s="736"/>
      <c r="I145" s="61"/>
      <c r="J145" s="662"/>
    </row>
    <row r="146" spans="5:10" s="23" customFormat="1"/>
    <row r="147" spans="5:10" s="23" customFormat="1">
      <c r="E147" s="126" t="s">
        <v>396</v>
      </c>
    </row>
    <row r="148" spans="5:10" s="23" customFormat="1"/>
    <row r="149" spans="5:10" s="23" customFormat="1" ht="15" thickBot="1">
      <c r="F149" s="152" t="s">
        <v>400</v>
      </c>
      <c r="G149" s="133" t="str">
        <f>G$123&amp;" ("&amp;Lbl_Curr_Intl_ABBR&amp;")"</f>
        <v>Commercial (USD)</v>
      </c>
      <c r="H149" s="133" t="str">
        <f>G$124&amp;" ("&amp;Lbl_Curr_Intl_ABBR&amp;")"</f>
        <v>PIVI (USD)</v>
      </c>
      <c r="I149" s="133" t="str">
        <f>G$125&amp;" ("&amp;Lbl_Curr_Intl_ABBR&amp;")"</f>
        <v>MoH (USD)</v>
      </c>
    </row>
    <row r="150" spans="5:10" s="23" customFormat="1">
      <c r="F150" s="151" t="s">
        <v>86</v>
      </c>
      <c r="G150" s="199">
        <v>0</v>
      </c>
      <c r="H150" s="199">
        <v>0</v>
      </c>
      <c r="I150" s="199">
        <v>0</v>
      </c>
    </row>
    <row r="151" spans="5:10" s="23" customFormat="1">
      <c r="F151" s="151" t="s">
        <v>87</v>
      </c>
      <c r="G151" s="127">
        <v>0</v>
      </c>
      <c r="H151" s="127">
        <v>0</v>
      </c>
      <c r="I151" s="127">
        <v>0</v>
      </c>
    </row>
    <row r="152" spans="5:10" s="23" customFormat="1">
      <c r="F152" s="151" t="s">
        <v>397</v>
      </c>
      <c r="G152" s="127">
        <v>0</v>
      </c>
      <c r="H152" s="127">
        <v>0</v>
      </c>
      <c r="I152" s="127">
        <v>0</v>
      </c>
    </row>
    <row r="153" spans="5:10" s="23" customFormat="1">
      <c r="F153" s="151" t="s">
        <v>88</v>
      </c>
      <c r="G153" s="127"/>
      <c r="H153" s="127">
        <v>0</v>
      </c>
      <c r="I153" s="127">
        <v>0</v>
      </c>
    </row>
    <row r="154" spans="5:10" s="23" customFormat="1">
      <c r="F154" s="151" t="s">
        <v>89</v>
      </c>
      <c r="G154" s="127">
        <v>0</v>
      </c>
      <c r="H154" s="127">
        <v>0</v>
      </c>
      <c r="I154" s="127">
        <v>0</v>
      </c>
    </row>
    <row r="155" spans="5:10" s="23" customFormat="1">
      <c r="F155" s="151" t="s">
        <v>398</v>
      </c>
      <c r="G155" s="201">
        <v>0</v>
      </c>
      <c r="H155" s="201">
        <v>0</v>
      </c>
      <c r="I155" s="201">
        <v>0</v>
      </c>
    </row>
    <row r="156" spans="5:10" s="23" customFormat="1">
      <c r="F156" s="126" t="s">
        <v>399</v>
      </c>
      <c r="G156" s="97">
        <f>SUM(G150:G155)</f>
        <v>0</v>
      </c>
      <c r="H156" s="97">
        <f>SUM(H150:H155)</f>
        <v>0</v>
      </c>
      <c r="I156" s="97">
        <f>SUM(I150:I155)</f>
        <v>0</v>
      </c>
    </row>
    <row r="157" spans="5:10" s="23" customFormat="1">
      <c r="I157" s="61"/>
      <c r="J157" s="662"/>
    </row>
    <row r="158" spans="5:10" s="23" customFormat="1">
      <c r="E158" s="152" t="s">
        <v>876</v>
      </c>
      <c r="I158" s="61"/>
      <c r="J158" s="662"/>
    </row>
    <row r="159" spans="5:10" s="23" customFormat="1">
      <c r="E159" s="735"/>
      <c r="F159" s="736"/>
      <c r="I159" s="61"/>
      <c r="J159" s="662"/>
    </row>
    <row r="160" spans="5:10" s="23" customFormat="1">
      <c r="E160" s="735"/>
      <c r="F160" s="736"/>
      <c r="I160" s="61"/>
      <c r="J160" s="662"/>
    </row>
    <row r="161" spans="2:10" s="23" customFormat="1">
      <c r="E161" s="735"/>
      <c r="F161" s="736"/>
      <c r="I161" s="61"/>
      <c r="J161" s="662"/>
    </row>
    <row r="162" spans="2:10" s="23" customFormat="1"/>
    <row r="163" spans="2:10" s="23" customFormat="1">
      <c r="E163" s="152" t="s">
        <v>401</v>
      </c>
    </row>
    <row r="164" spans="2:10" s="23" customFormat="1">
      <c r="F164" s="129" t="str">
        <f>G$123</f>
        <v>Commercial</v>
      </c>
      <c r="J164" s="115">
        <v>13650</v>
      </c>
    </row>
    <row r="165" spans="2:10" s="23" customFormat="1">
      <c r="F165" s="129" t="str">
        <f>G$124</f>
        <v>PIVI</v>
      </c>
      <c r="J165" s="115">
        <v>0</v>
      </c>
    </row>
    <row r="166" spans="2:10" s="23" customFormat="1">
      <c r="F166" s="129" t="str">
        <f>G$125</f>
        <v>MoH</v>
      </c>
      <c r="J166" s="202">
        <v>0</v>
      </c>
    </row>
    <row r="167" spans="2:10" s="23" customFormat="1" ht="15" thickBot="1">
      <c r="F167" s="126" t="s">
        <v>403</v>
      </c>
      <c r="J167" s="44">
        <f>SUM(J164:J166)</f>
        <v>13650</v>
      </c>
    </row>
    <row r="168" spans="2:10" s="23" customFormat="1" ht="15" thickTop="1"/>
    <row r="169" spans="2:10" s="23" customFormat="1" ht="17.399999999999999">
      <c r="B169" s="81" t="str">
        <f>"Output - Cost Estimate for Procuring "&amp;C134</f>
        <v>Output - Cost Estimate for Procuring Single Vaccine Dose in Prefilled Auto-Destruct Syringe</v>
      </c>
    </row>
    <row r="170" spans="2:10" s="23" customFormat="1">
      <c r="G170" s="124" t="str">
        <f>FLU_LU!$D$307</f>
        <v>Financial</v>
      </c>
    </row>
    <row r="171" spans="2:10" s="23" customFormat="1">
      <c r="H171" s="129" t="str">
        <f>G$123&amp;" ("&amp;Lbl_Curr_Intl_ABBR&amp;")"</f>
        <v>Commercial (USD)</v>
      </c>
      <c r="J171" s="60">
        <f>J164*$G140</f>
        <v>72345</v>
      </c>
    </row>
    <row r="172" spans="2:10" s="23" customFormat="1">
      <c r="H172" s="129" t="str">
        <f>G$124&amp;" ("&amp;Lbl_Curr_Intl_ABBR&amp;")"</f>
        <v>PIVI (USD)</v>
      </c>
      <c r="J172" s="60">
        <f>J165*$H140</f>
        <v>0</v>
      </c>
    </row>
    <row r="173" spans="2:10" s="23" customFormat="1">
      <c r="H173" s="129" t="str">
        <f>G$125&amp;" ("&amp;Lbl_Curr_Intl_ABBR&amp;")"</f>
        <v>MoH (USD)</v>
      </c>
      <c r="J173" s="60">
        <f>J166*$I140</f>
        <v>0</v>
      </c>
    </row>
    <row r="174" spans="2:10" s="23" customFormat="1" ht="15" thickBot="1">
      <c r="H174" s="116" t="str">
        <f>"Total ("&amp;FLU_LU!$D$307&amp;")"</f>
        <v>Total (Financial)</v>
      </c>
      <c r="J174" s="74">
        <f>SUM(J171:J173)</f>
        <v>72345</v>
      </c>
    </row>
    <row r="175" spans="2:10" s="23" customFormat="1" ht="15" thickTop="1">
      <c r="G175" s="124" t="str">
        <f>FLU_LU!$D$308</f>
        <v>Economic</v>
      </c>
    </row>
    <row r="176" spans="2:10" s="23" customFormat="1">
      <c r="H176" s="129" t="str">
        <f>G$123&amp;" ("&amp;Lbl_Curr_Intl_ABBR&amp;")"</f>
        <v>Commercial (USD)</v>
      </c>
      <c r="J176" s="60">
        <f>J164*$G138</f>
        <v>72345</v>
      </c>
    </row>
    <row r="177" spans="2:10" s="23" customFormat="1">
      <c r="H177" s="129" t="str">
        <f>G$124&amp;" ("&amp;Lbl_Curr_Intl_ABBR&amp;")"</f>
        <v>PIVI (USD)</v>
      </c>
      <c r="J177" s="60">
        <f>J165*$H138</f>
        <v>0</v>
      </c>
    </row>
    <row r="178" spans="2:10" s="23" customFormat="1">
      <c r="H178" s="129" t="str">
        <f>G$125&amp;" ("&amp;Lbl_Curr_Intl_ABBR&amp;")"</f>
        <v>MoH (USD)</v>
      </c>
      <c r="J178" s="60">
        <f>J166*$I138</f>
        <v>0</v>
      </c>
    </row>
    <row r="179" spans="2:10" s="23" customFormat="1" ht="15" thickBot="1">
      <c r="H179" s="116" t="str">
        <f>"Total ("&amp;FLU_LU!$D$308&amp;")"</f>
        <v>Total (Economic)</v>
      </c>
      <c r="J179" s="74">
        <f>SUM(J176:J178)</f>
        <v>72345</v>
      </c>
    </row>
    <row r="180" spans="2:10" s="23" customFormat="1" ht="15.6" thickTop="1" thickBot="1">
      <c r="B180" s="55"/>
      <c r="C180" s="55"/>
      <c r="D180" s="55"/>
      <c r="E180" s="55"/>
      <c r="F180" s="55"/>
      <c r="G180" s="55"/>
      <c r="H180" s="55"/>
      <c r="I180" s="55"/>
      <c r="J180" s="55"/>
    </row>
    <row r="181" spans="2:10" ht="17.399999999999999">
      <c r="B181" s="81" t="str">
        <f>"Input - Cost Estimate for Procuring "&amp;C182</f>
        <v>Input - Cost Estimate for Procuring Single Vaccine Dose in Vial</v>
      </c>
    </row>
    <row r="182" spans="2:10" s="23" customFormat="1">
      <c r="C182" s="153" t="str">
        <f>F49</f>
        <v>Single Vaccine Dose in Vial</v>
      </c>
    </row>
    <row r="183" spans="2:10" s="23" customFormat="1" ht="15" thickBot="1">
      <c r="G183" s="133" t="str">
        <f>G$123&amp;" ("&amp;Lbl_Curr_Intl_ABBR&amp;")"</f>
        <v>Commercial (USD)</v>
      </c>
      <c r="H183" s="133" t="str">
        <f>G$124&amp;" ("&amp;Lbl_Curr_Intl_ABBR&amp;")"</f>
        <v>PIVI (USD)</v>
      </c>
      <c r="I183" s="133" t="str">
        <f>G$125&amp;" ("&amp;Lbl_Curr_Intl_ABBR&amp;")"</f>
        <v>MoH (USD)</v>
      </c>
    </row>
    <row r="184" spans="2:10" s="23" customFormat="1">
      <c r="E184" s="12" t="s">
        <v>395</v>
      </c>
      <c r="G184" s="199">
        <v>0</v>
      </c>
      <c r="H184" s="199">
        <v>4.5</v>
      </c>
      <c r="I184" s="199">
        <v>0</v>
      </c>
    </row>
    <row r="185" spans="2:10" s="23" customFormat="1">
      <c r="E185" s="12" t="s">
        <v>393</v>
      </c>
      <c r="G185" s="14">
        <f>G204</f>
        <v>0</v>
      </c>
      <c r="H185" s="14">
        <f>H204</f>
        <v>0.01</v>
      </c>
      <c r="I185" s="14">
        <f>I204</f>
        <v>0</v>
      </c>
    </row>
    <row r="186" spans="2:10" s="23" customFormat="1">
      <c r="E186" s="12" t="s">
        <v>391</v>
      </c>
      <c r="G186" s="165">
        <f>G184+G185</f>
        <v>0</v>
      </c>
      <c r="H186" s="165">
        <f>H184+H185</f>
        <v>4.51</v>
      </c>
      <c r="I186" s="165">
        <f>I184+I185</f>
        <v>0</v>
      </c>
    </row>
    <row r="187" spans="2:10" s="23" customFormat="1">
      <c r="E187" s="12" t="s">
        <v>392</v>
      </c>
      <c r="G187" s="200">
        <v>0</v>
      </c>
      <c r="H187" s="200">
        <v>4.5</v>
      </c>
      <c r="I187" s="200">
        <v>0</v>
      </c>
    </row>
    <row r="188" spans="2:10" s="23" customFormat="1" ht="15" thickBot="1">
      <c r="E188" s="12" t="s">
        <v>394</v>
      </c>
      <c r="G188" s="128">
        <f>G186-G187</f>
        <v>0</v>
      </c>
      <c r="H188" s="58">
        <f>H186-H187</f>
        <v>9.9999999999997868E-3</v>
      </c>
      <c r="I188" s="58">
        <f>I186-I187</f>
        <v>0</v>
      </c>
    </row>
    <row r="189" spans="2:10" s="23" customFormat="1" ht="15" thickTop="1">
      <c r="I189" s="61"/>
      <c r="J189" s="662"/>
    </row>
    <row r="190" spans="2:10" s="23" customFormat="1">
      <c r="E190" s="152" t="s">
        <v>876</v>
      </c>
      <c r="I190" s="61"/>
      <c r="J190" s="662"/>
    </row>
    <row r="191" spans="2:10" s="23" customFormat="1">
      <c r="E191" s="735"/>
      <c r="F191" s="736"/>
      <c r="I191" s="61"/>
      <c r="J191" s="662"/>
    </row>
    <row r="192" spans="2:10" s="23" customFormat="1">
      <c r="E192" s="735"/>
      <c r="F192" s="736"/>
      <c r="I192" s="61"/>
      <c r="J192" s="662"/>
    </row>
    <row r="193" spans="5:10" s="23" customFormat="1">
      <c r="E193" s="735"/>
      <c r="F193" s="736"/>
      <c r="I193" s="61"/>
      <c r="J193" s="662"/>
    </row>
    <row r="194" spans="5:10" s="23" customFormat="1"/>
    <row r="195" spans="5:10" s="23" customFormat="1">
      <c r="E195" s="126" t="s">
        <v>396</v>
      </c>
    </row>
    <row r="196" spans="5:10" s="23" customFormat="1"/>
    <row r="197" spans="5:10" s="23" customFormat="1" ht="15" thickBot="1">
      <c r="F197" s="152" t="s">
        <v>400</v>
      </c>
      <c r="G197" s="133" t="str">
        <f>G$123&amp;" ("&amp;Lbl_Curr_Intl_ABBR&amp;")"</f>
        <v>Commercial (USD)</v>
      </c>
      <c r="H197" s="133" t="str">
        <f>G$124&amp;" ("&amp;Lbl_Curr_Intl_ABBR&amp;")"</f>
        <v>PIVI (USD)</v>
      </c>
      <c r="I197" s="133" t="str">
        <f>G$125&amp;" ("&amp;Lbl_Curr_Intl_ABBR&amp;")"</f>
        <v>MoH (USD)</v>
      </c>
    </row>
    <row r="198" spans="5:10" s="23" customFormat="1">
      <c r="F198" s="151" t="s">
        <v>86</v>
      </c>
      <c r="G198" s="199">
        <v>0</v>
      </c>
      <c r="H198" s="199">
        <v>0</v>
      </c>
      <c r="I198" s="199">
        <v>0</v>
      </c>
    </row>
    <row r="199" spans="5:10" s="23" customFormat="1">
      <c r="F199" s="151" t="s">
        <v>87</v>
      </c>
      <c r="G199" s="127">
        <v>0</v>
      </c>
      <c r="H199" s="127">
        <v>0.01</v>
      </c>
      <c r="I199" s="127">
        <v>0</v>
      </c>
    </row>
    <row r="200" spans="5:10" s="23" customFormat="1">
      <c r="F200" s="151" t="s">
        <v>397</v>
      </c>
      <c r="G200" s="127">
        <v>0</v>
      </c>
      <c r="H200" s="127">
        <v>0</v>
      </c>
      <c r="I200" s="127">
        <v>0</v>
      </c>
    </row>
    <row r="201" spans="5:10" s="23" customFormat="1">
      <c r="F201" s="151" t="s">
        <v>88</v>
      </c>
      <c r="G201" s="127">
        <v>0</v>
      </c>
      <c r="H201" s="127">
        <v>0</v>
      </c>
      <c r="I201" s="127">
        <v>0</v>
      </c>
    </row>
    <row r="202" spans="5:10" s="23" customFormat="1">
      <c r="F202" s="151" t="s">
        <v>89</v>
      </c>
      <c r="G202" s="127">
        <v>0</v>
      </c>
      <c r="H202" s="127">
        <v>0</v>
      </c>
      <c r="I202" s="127">
        <v>0</v>
      </c>
    </row>
    <row r="203" spans="5:10" s="23" customFormat="1">
      <c r="F203" s="151" t="s">
        <v>398</v>
      </c>
      <c r="G203" s="201">
        <v>0</v>
      </c>
      <c r="H203" s="201">
        <v>0</v>
      </c>
      <c r="I203" s="201">
        <v>0</v>
      </c>
    </row>
    <row r="204" spans="5:10" s="23" customFormat="1">
      <c r="F204" s="126" t="s">
        <v>399</v>
      </c>
      <c r="G204" s="97">
        <f>SUM(G198:G203)</f>
        <v>0</v>
      </c>
      <c r="H204" s="97">
        <f>SUM(H198:H203)</f>
        <v>0.01</v>
      </c>
      <c r="I204" s="97">
        <f>SUM(I198:I203)</f>
        <v>0</v>
      </c>
    </row>
    <row r="205" spans="5:10" s="23" customFormat="1">
      <c r="I205" s="61"/>
      <c r="J205" s="662"/>
    </row>
    <row r="206" spans="5:10" s="23" customFormat="1">
      <c r="E206" s="152" t="s">
        <v>876</v>
      </c>
      <c r="I206" s="61"/>
      <c r="J206" s="662"/>
    </row>
    <row r="207" spans="5:10" s="23" customFormat="1">
      <c r="E207" s="735"/>
      <c r="F207" s="736"/>
      <c r="I207" s="61"/>
      <c r="J207" s="662"/>
    </row>
    <row r="208" spans="5:10" s="23" customFormat="1">
      <c r="E208" s="735"/>
      <c r="F208" s="736"/>
      <c r="I208" s="61"/>
      <c r="J208" s="662"/>
    </row>
    <row r="209" spans="2:10" s="23" customFormat="1">
      <c r="E209" s="735"/>
      <c r="F209" s="736"/>
      <c r="I209" s="61"/>
      <c r="J209" s="662"/>
    </row>
    <row r="210" spans="2:10" s="23" customFormat="1"/>
    <row r="211" spans="2:10" s="23" customFormat="1">
      <c r="E211" s="152" t="s">
        <v>401</v>
      </c>
    </row>
    <row r="212" spans="2:10" s="23" customFormat="1">
      <c r="F212" s="129" t="str">
        <f>G$123</f>
        <v>Commercial</v>
      </c>
      <c r="J212" s="115">
        <v>0</v>
      </c>
    </row>
    <row r="213" spans="2:10" s="23" customFormat="1">
      <c r="F213" s="129" t="str">
        <f>G$124</f>
        <v>PIVI</v>
      </c>
      <c r="J213" s="115">
        <v>371</v>
      </c>
    </row>
    <row r="214" spans="2:10" s="23" customFormat="1">
      <c r="F214" s="129" t="str">
        <f>G$125</f>
        <v>MoH</v>
      </c>
      <c r="J214" s="202">
        <v>0</v>
      </c>
    </row>
    <row r="215" spans="2:10" s="23" customFormat="1" ht="15" thickBot="1">
      <c r="F215" s="126" t="s">
        <v>403</v>
      </c>
      <c r="J215" s="44">
        <f>SUM(J212:J214)</f>
        <v>371</v>
      </c>
    </row>
    <row r="216" spans="2:10" s="23" customFormat="1" ht="15" thickTop="1"/>
    <row r="217" spans="2:10" s="23" customFormat="1" ht="17.399999999999999">
      <c r="B217" s="81" t="str">
        <f>"Output - Cost Estimate for Procuring "&amp;C182</f>
        <v>Output - Cost Estimate for Procuring Single Vaccine Dose in Vial</v>
      </c>
    </row>
    <row r="218" spans="2:10" s="23" customFormat="1">
      <c r="G218" s="124" t="str">
        <f>FLU_LU!$D$307</f>
        <v>Financial</v>
      </c>
    </row>
    <row r="219" spans="2:10" s="23" customFormat="1">
      <c r="H219" s="129" t="str">
        <f>G$123&amp;" ("&amp;Lbl_Curr_Intl_ABBR&amp;")"</f>
        <v>Commercial (USD)</v>
      </c>
      <c r="J219" s="60">
        <f>J212*$G188</f>
        <v>0</v>
      </c>
    </row>
    <row r="220" spans="2:10" s="23" customFormat="1">
      <c r="H220" s="129" t="str">
        <f>G$124&amp;" ("&amp;Lbl_Curr_Intl_ABBR&amp;")"</f>
        <v>PIVI (USD)</v>
      </c>
      <c r="J220" s="60">
        <f>J213*$H188</f>
        <v>3.7099999999999209</v>
      </c>
    </row>
    <row r="221" spans="2:10" s="23" customFormat="1">
      <c r="H221" s="129" t="str">
        <f>G$125&amp;" ("&amp;Lbl_Curr_Intl_ABBR&amp;")"</f>
        <v>MoH (USD)</v>
      </c>
      <c r="J221" s="60">
        <f>J214*$I188</f>
        <v>0</v>
      </c>
    </row>
    <row r="222" spans="2:10" s="23" customFormat="1" ht="15" thickBot="1">
      <c r="H222" s="116" t="str">
        <f>"Total ("&amp;FLU_LU!$D$307&amp;")"</f>
        <v>Total (Financial)</v>
      </c>
      <c r="J222" s="74">
        <f>SUM(J219:J221)</f>
        <v>3.7099999999999209</v>
      </c>
    </row>
    <row r="223" spans="2:10" s="23" customFormat="1" ht="15" thickTop="1">
      <c r="G223" s="124" t="str">
        <f>FLU_LU!$D$308</f>
        <v>Economic</v>
      </c>
    </row>
    <row r="224" spans="2:10" s="23" customFormat="1">
      <c r="H224" s="129" t="str">
        <f>G$123&amp;" ("&amp;Lbl_Curr_Intl_ABBR&amp;")"</f>
        <v>Commercial (USD)</v>
      </c>
      <c r="J224" s="60">
        <f>J212*$G186</f>
        <v>0</v>
      </c>
    </row>
    <row r="225" spans="2:10" s="23" customFormat="1">
      <c r="H225" s="129" t="str">
        <f>G$124&amp;" ("&amp;Lbl_Curr_Intl_ABBR&amp;")"</f>
        <v>PIVI (USD)</v>
      </c>
      <c r="J225" s="60">
        <f>J213*$H186</f>
        <v>1673.2099999999998</v>
      </c>
    </row>
    <row r="226" spans="2:10" s="23" customFormat="1">
      <c r="H226" s="129" t="str">
        <f>G$125&amp;" ("&amp;Lbl_Curr_Intl_ABBR&amp;")"</f>
        <v>MoH (USD)</v>
      </c>
      <c r="J226" s="60">
        <f>J214*$I186</f>
        <v>0</v>
      </c>
    </row>
    <row r="227" spans="2:10" s="23" customFormat="1" ht="15" thickBot="1">
      <c r="H227" s="116" t="str">
        <f>"Total ("&amp;FLU_LU!$D$308&amp;")"</f>
        <v>Total (Economic)</v>
      </c>
      <c r="J227" s="74">
        <f>SUM(J224:J226)</f>
        <v>1673.2099999999998</v>
      </c>
    </row>
    <row r="228" spans="2:10" s="23" customFormat="1" ht="15.6" thickTop="1" thickBot="1">
      <c r="B228" s="55"/>
      <c r="C228" s="55"/>
      <c r="D228" s="55"/>
      <c r="E228" s="55"/>
      <c r="F228" s="55"/>
      <c r="G228" s="55"/>
      <c r="H228" s="55"/>
      <c r="I228" s="55"/>
      <c r="J228" s="55"/>
    </row>
    <row r="229" spans="2:10" s="23" customFormat="1"/>
    <row r="230" spans="2:10" ht="17.399999999999999">
      <c r="B230" s="81" t="str">
        <f>"Input - Cost Estimate for Procuring "&amp;C232</f>
        <v>Input - Cost Estimate for Procuring Auto Destruct Injection Syringe</v>
      </c>
    </row>
    <row r="231" spans="2:10" s="23" customFormat="1"/>
    <row r="232" spans="2:10" s="23" customFormat="1" ht="15.6">
      <c r="C232" s="334" t="str">
        <f>F58</f>
        <v>Auto Destruct Injection Syringe</v>
      </c>
    </row>
    <row r="233" spans="2:10" s="23" customFormat="1" ht="15" thickBot="1">
      <c r="G233" s="133" t="str">
        <f>G$123&amp;" ("&amp;Lbl_Curr_Intl_ABBR&amp;")"</f>
        <v>Commercial (USD)</v>
      </c>
      <c r="H233" s="133" t="str">
        <f>G$124&amp;" ("&amp;Lbl_Curr_Intl_ABBR&amp;")"</f>
        <v>PIVI (USD)</v>
      </c>
      <c r="I233" s="133" t="str">
        <f>G$125&amp;" ("&amp;Lbl_Curr_Intl_ABBR&amp;")"</f>
        <v>MoH (USD)</v>
      </c>
    </row>
    <row r="234" spans="2:10" s="23" customFormat="1">
      <c r="E234" s="12" t="s">
        <v>395</v>
      </c>
      <c r="G234" s="199">
        <v>0</v>
      </c>
      <c r="H234" s="199">
        <v>0</v>
      </c>
      <c r="I234" s="199">
        <v>0.08</v>
      </c>
    </row>
    <row r="235" spans="2:10" s="23" customFormat="1">
      <c r="E235" s="12" t="s">
        <v>393</v>
      </c>
      <c r="G235" s="144"/>
      <c r="H235" s="144"/>
      <c r="I235" s="144"/>
    </row>
    <row r="236" spans="2:10" s="23" customFormat="1">
      <c r="E236" s="12" t="s">
        <v>391</v>
      </c>
      <c r="G236" s="14">
        <f>SUM(G234:G235)</f>
        <v>0</v>
      </c>
      <c r="H236" s="14">
        <f>SUM(H234:H235)</f>
        <v>0</v>
      </c>
      <c r="I236" s="14">
        <f>SUM(I234:I235)</f>
        <v>0.08</v>
      </c>
    </row>
    <row r="237" spans="2:10" s="23" customFormat="1">
      <c r="E237" s="12" t="s">
        <v>392</v>
      </c>
      <c r="G237" s="127">
        <v>0</v>
      </c>
      <c r="H237" s="127">
        <v>0</v>
      </c>
      <c r="I237" s="127">
        <v>0</v>
      </c>
    </row>
    <row r="238" spans="2:10" s="23" customFormat="1">
      <c r="E238" s="12" t="s">
        <v>394</v>
      </c>
      <c r="G238" s="14">
        <f>G236-G237</f>
        <v>0</v>
      </c>
      <c r="H238" s="14">
        <f>H236-H237</f>
        <v>0</v>
      </c>
      <c r="I238" s="14">
        <f>I236-I237</f>
        <v>0.08</v>
      </c>
    </row>
    <row r="239" spans="2:10" s="23" customFormat="1">
      <c r="I239" s="61"/>
      <c r="J239" s="662"/>
    </row>
    <row r="240" spans="2:10" s="23" customFormat="1">
      <c r="E240" s="152" t="s">
        <v>876</v>
      </c>
      <c r="I240" s="61"/>
      <c r="J240" s="662"/>
    </row>
    <row r="241" spans="5:10" s="23" customFormat="1">
      <c r="E241" s="735"/>
      <c r="F241" s="736"/>
      <c r="I241" s="61"/>
      <c r="J241" s="662"/>
    </row>
    <row r="242" spans="5:10" s="23" customFormat="1">
      <c r="E242" s="735"/>
      <c r="F242" s="736"/>
      <c r="I242" s="61"/>
      <c r="J242" s="662"/>
    </row>
    <row r="243" spans="5:10" s="23" customFormat="1">
      <c r="E243" s="735"/>
      <c r="F243" s="736"/>
      <c r="I243" s="61"/>
      <c r="J243" s="662"/>
    </row>
    <row r="244" spans="5:10" s="23" customFormat="1"/>
    <row r="245" spans="5:10" s="23" customFormat="1">
      <c r="E245" s="152" t="s">
        <v>396</v>
      </c>
    </row>
    <row r="246" spans="5:10" s="23" customFormat="1" ht="15" thickBot="1">
      <c r="F246" s="152" t="s">
        <v>400</v>
      </c>
      <c r="G246" s="133" t="str">
        <f>G$123&amp;" ("&amp;Lbl_Curr_Intl_ABBR&amp;")"</f>
        <v>Commercial (USD)</v>
      </c>
      <c r="H246" s="133" t="str">
        <f>G$124&amp;" ("&amp;Lbl_Curr_Intl_ABBR&amp;")"</f>
        <v>PIVI (USD)</v>
      </c>
      <c r="I246" s="133" t="str">
        <f>G$125&amp;" ("&amp;Lbl_Curr_Intl_ABBR&amp;")"</f>
        <v>MoH (USD)</v>
      </c>
    </row>
    <row r="247" spans="5:10" s="23" customFormat="1">
      <c r="F247" s="151"/>
      <c r="G247" s="127"/>
      <c r="H247" s="127"/>
      <c r="I247" s="127"/>
    </row>
    <row r="248" spans="5:10" s="23" customFormat="1">
      <c r="F248" s="151"/>
      <c r="G248" s="127"/>
      <c r="H248" s="127"/>
      <c r="I248" s="127"/>
    </row>
    <row r="249" spans="5:10" s="23" customFormat="1">
      <c r="F249" s="151"/>
      <c r="G249" s="127"/>
      <c r="H249" s="127"/>
      <c r="I249" s="127"/>
    </row>
    <row r="250" spans="5:10" s="23" customFormat="1">
      <c r="F250" s="151"/>
      <c r="G250" s="201"/>
      <c r="H250" s="201"/>
      <c r="I250" s="201"/>
    </row>
    <row r="251" spans="5:10" s="23" customFormat="1" ht="15" thickBot="1">
      <c r="F251" s="152" t="s">
        <v>399</v>
      </c>
      <c r="G251" s="58">
        <f>SUM(G247:G250)</f>
        <v>0</v>
      </c>
      <c r="H251" s="58">
        <f>SUM(H247:H250)</f>
        <v>0</v>
      </c>
      <c r="I251" s="58">
        <f>SUM(I247:I250)</f>
        <v>0</v>
      </c>
    </row>
    <row r="252" spans="5:10" s="23" customFormat="1" ht="15" thickTop="1">
      <c r="I252" s="61"/>
      <c r="J252" s="662"/>
    </row>
    <row r="253" spans="5:10" s="23" customFormat="1">
      <c r="E253" s="152" t="s">
        <v>876</v>
      </c>
      <c r="I253" s="61"/>
      <c r="J253" s="662"/>
    </row>
    <row r="254" spans="5:10" s="23" customFormat="1">
      <c r="E254" s="735"/>
      <c r="F254" s="736"/>
      <c r="I254" s="61"/>
      <c r="J254" s="662"/>
    </row>
    <row r="255" spans="5:10" s="23" customFormat="1">
      <c r="E255" s="735"/>
      <c r="F255" s="736"/>
      <c r="I255" s="61"/>
      <c r="J255" s="662"/>
    </row>
    <row r="256" spans="5:10" s="23" customFormat="1">
      <c r="E256" s="735"/>
      <c r="F256" s="736"/>
      <c r="I256" s="61"/>
      <c r="J256" s="662"/>
    </row>
    <row r="257" spans="2:10" s="23" customFormat="1"/>
    <row r="258" spans="2:10" s="23" customFormat="1">
      <c r="E258" s="152" t="s">
        <v>401</v>
      </c>
    </row>
    <row r="259" spans="2:10" s="23" customFormat="1">
      <c r="F259" s="132" t="str">
        <f>G$123</f>
        <v>Commercial</v>
      </c>
      <c r="J259" s="115">
        <v>0</v>
      </c>
    </row>
    <row r="260" spans="2:10" s="23" customFormat="1">
      <c r="F260" s="132" t="str">
        <f>G$124</f>
        <v>PIVI</v>
      </c>
      <c r="J260" s="115">
        <v>0</v>
      </c>
    </row>
    <row r="261" spans="2:10" s="23" customFormat="1">
      <c r="F261" s="132" t="str">
        <f>G$125</f>
        <v>MoH</v>
      </c>
      <c r="J261" s="202">
        <v>371</v>
      </c>
    </row>
    <row r="262" spans="2:10" s="23" customFormat="1" ht="15" thickBot="1">
      <c r="F262" s="152" t="s">
        <v>403</v>
      </c>
      <c r="J262" s="145">
        <f>SUM(J259:J261)</f>
        <v>371</v>
      </c>
    </row>
    <row r="263" spans="2:10" s="23" customFormat="1" ht="15" thickTop="1"/>
    <row r="264" spans="2:10" s="23" customFormat="1"/>
    <row r="265" spans="2:10" s="23" customFormat="1" ht="17.399999999999999">
      <c r="B265" s="81" t="str">
        <f>"Output - Cost Estimate for Procuring "&amp;C232</f>
        <v>Output - Cost Estimate for Procuring Auto Destruct Injection Syringe</v>
      </c>
    </row>
    <row r="266" spans="2:10" s="23" customFormat="1">
      <c r="G266" s="124" t="str">
        <f>FLU_LU!$D$307</f>
        <v>Financial</v>
      </c>
    </row>
    <row r="267" spans="2:10" s="23" customFormat="1">
      <c r="H267" s="129" t="str">
        <f>G$123&amp;" ("&amp;Lbl_Curr_Intl_ABBR&amp;")"</f>
        <v>Commercial (USD)</v>
      </c>
      <c r="J267" s="14">
        <f>G238*J259</f>
        <v>0</v>
      </c>
    </row>
    <row r="268" spans="2:10" s="23" customFormat="1">
      <c r="H268" s="129" t="str">
        <f>G$124&amp;" ("&amp;Lbl_Curr_Intl_ABBR&amp;")"</f>
        <v>PIVI (USD)</v>
      </c>
      <c r="J268" s="14">
        <f>H238*J260</f>
        <v>0</v>
      </c>
    </row>
    <row r="269" spans="2:10" s="23" customFormat="1">
      <c r="H269" s="129" t="str">
        <f>G$125&amp;" ("&amp;Lbl_Curr_Intl_ABBR&amp;")"</f>
        <v>MoH (USD)</v>
      </c>
      <c r="J269" s="14">
        <f>I238*J261</f>
        <v>29.68</v>
      </c>
    </row>
    <row r="270" spans="2:10" s="23" customFormat="1" ht="15" thickBot="1">
      <c r="H270" s="116" t="str">
        <f>"Total "&amp;G266</f>
        <v>Total Financial</v>
      </c>
      <c r="J270" s="58">
        <f>SUM(J267:J269)</f>
        <v>29.68</v>
      </c>
    </row>
    <row r="271" spans="2:10" s="23" customFormat="1" ht="15" thickTop="1"/>
    <row r="272" spans="2:10" s="23" customFormat="1">
      <c r="G272" s="153" t="str">
        <f>FLU_LU!$D$308</f>
        <v>Economic</v>
      </c>
    </row>
    <row r="273" spans="2:10" s="23" customFormat="1">
      <c r="H273" s="129" t="str">
        <f>G$123&amp;" ("&amp;Lbl_Curr_Intl_ABBR&amp;")"</f>
        <v>Commercial (USD)</v>
      </c>
      <c r="J273" s="109">
        <f>G236*J259</f>
        <v>0</v>
      </c>
    </row>
    <row r="274" spans="2:10" s="23" customFormat="1">
      <c r="H274" s="129" t="str">
        <f>G$124&amp;" ("&amp;Lbl_Curr_Intl_ABBR&amp;")"</f>
        <v>PIVI (USD)</v>
      </c>
      <c r="J274" s="109">
        <f>H236*J260</f>
        <v>0</v>
      </c>
    </row>
    <row r="275" spans="2:10" s="23" customFormat="1">
      <c r="H275" s="129" t="str">
        <f>G$125&amp;" ("&amp;Lbl_Curr_Intl_ABBR&amp;")"</f>
        <v>MoH (USD)</v>
      </c>
      <c r="J275" s="14">
        <f>I236*J261</f>
        <v>29.68</v>
      </c>
    </row>
    <row r="276" spans="2:10" s="23" customFormat="1" ht="15" thickBot="1">
      <c r="H276" s="116" t="str">
        <f>"Total "&amp;G272</f>
        <v>Total Economic</v>
      </c>
      <c r="J276" s="58">
        <f>SUM(J273:J275)</f>
        <v>29.68</v>
      </c>
    </row>
    <row r="277" spans="2:10" s="23" customFormat="1" ht="15.6" thickTop="1" thickBot="1">
      <c r="B277" s="55"/>
      <c r="C277" s="55"/>
      <c r="D277" s="55"/>
      <c r="E277" s="55"/>
      <c r="F277" s="55"/>
      <c r="G277" s="55"/>
      <c r="H277" s="55"/>
      <c r="I277" s="55"/>
      <c r="J277" s="55"/>
    </row>
    <row r="278" spans="2:10" s="23" customFormat="1"/>
    <row r="279" spans="2:10" ht="17.399999999999999">
      <c r="B279" s="81" t="str">
        <f>"Input - Cost Estimate for Procuring "&amp;C281</f>
        <v>Input - Cost Estimate for Procuring Safety Box (100 capacity) to hold administered syringes</v>
      </c>
    </row>
    <row r="280" spans="2:10" s="23" customFormat="1"/>
    <row r="281" spans="2:10" ht="15.6">
      <c r="C281" s="334" t="str">
        <f>F59</f>
        <v>Safety Box (100 capacity) to hold administered syringes</v>
      </c>
    </row>
    <row r="282" spans="2:10" s="23" customFormat="1" ht="15" thickBot="1">
      <c r="G282" s="133" t="str">
        <f>G$123&amp;" ("&amp;Lbl_Curr_Intl_ABBR&amp;")"</f>
        <v>Commercial (USD)</v>
      </c>
      <c r="H282" s="133" t="str">
        <f>G$124&amp;" ("&amp;Lbl_Curr_Intl_ABBR&amp;")"</f>
        <v>PIVI (USD)</v>
      </c>
      <c r="I282" s="133" t="str">
        <f>G$125&amp;" ("&amp;Lbl_Curr_Intl_ABBR&amp;")"</f>
        <v>MoH (USD)</v>
      </c>
    </row>
    <row r="283" spans="2:10" s="23" customFormat="1">
      <c r="E283" s="12" t="s">
        <v>395</v>
      </c>
      <c r="G283" s="199">
        <v>0</v>
      </c>
      <c r="H283" s="199">
        <v>0</v>
      </c>
      <c r="I283" s="199">
        <v>0.06</v>
      </c>
    </row>
    <row r="284" spans="2:10" s="23" customFormat="1">
      <c r="E284" s="12" t="s">
        <v>393</v>
      </c>
      <c r="G284" s="144"/>
      <c r="H284" s="144"/>
      <c r="I284" s="144"/>
    </row>
    <row r="285" spans="2:10" s="23" customFormat="1">
      <c r="E285" s="12" t="s">
        <v>391</v>
      </c>
      <c r="G285" s="14">
        <f>SUM(G283:G284)</f>
        <v>0</v>
      </c>
      <c r="H285" s="14">
        <f>SUM(H283:H284)</f>
        <v>0</v>
      </c>
      <c r="I285" s="14">
        <f>SUM(I283:I284)</f>
        <v>0.06</v>
      </c>
    </row>
    <row r="286" spans="2:10" s="23" customFormat="1">
      <c r="E286" s="12" t="s">
        <v>392</v>
      </c>
      <c r="G286" s="127">
        <v>0</v>
      </c>
      <c r="H286" s="127">
        <v>0</v>
      </c>
      <c r="I286" s="127">
        <v>0</v>
      </c>
    </row>
    <row r="287" spans="2:10" s="23" customFormat="1">
      <c r="E287" s="12" t="s">
        <v>394</v>
      </c>
      <c r="G287" s="14">
        <f>G285-G286</f>
        <v>0</v>
      </c>
      <c r="H287" s="14">
        <f>H285-H286</f>
        <v>0</v>
      </c>
      <c r="I287" s="14">
        <f>I285-I286</f>
        <v>0.06</v>
      </c>
    </row>
    <row r="288" spans="2:10" s="23" customFormat="1"/>
    <row r="289" spans="5:10" s="23" customFormat="1">
      <c r="I289" s="61"/>
      <c r="J289" s="662"/>
    </row>
    <row r="290" spans="5:10" s="23" customFormat="1">
      <c r="E290" s="152" t="s">
        <v>876</v>
      </c>
      <c r="I290" s="61"/>
      <c r="J290" s="662"/>
    </row>
    <row r="291" spans="5:10" s="23" customFormat="1">
      <c r="E291" s="735"/>
      <c r="F291" s="736"/>
      <c r="I291" s="61"/>
      <c r="J291" s="662"/>
    </row>
    <row r="292" spans="5:10" s="23" customFormat="1">
      <c r="E292" s="735"/>
      <c r="F292" s="736"/>
      <c r="I292" s="61"/>
      <c r="J292" s="662"/>
    </row>
    <row r="293" spans="5:10" s="23" customFormat="1">
      <c r="E293" s="735"/>
      <c r="F293" s="736"/>
      <c r="I293" s="61"/>
      <c r="J293" s="662"/>
    </row>
    <row r="294" spans="5:10" customFormat="1"/>
    <row r="295" spans="5:10" s="23" customFormat="1">
      <c r="E295" s="152" t="s">
        <v>396</v>
      </c>
    </row>
    <row r="296" spans="5:10" s="23" customFormat="1" ht="15" thickBot="1">
      <c r="F296" s="152" t="s">
        <v>400</v>
      </c>
      <c r="G296" s="133" t="str">
        <f>G$123&amp;" ("&amp;Lbl_Curr_Intl_ABBR&amp;")"</f>
        <v>Commercial (USD)</v>
      </c>
      <c r="H296" s="133" t="str">
        <f>G$124&amp;" ("&amp;Lbl_Curr_Intl_ABBR&amp;")"</f>
        <v>PIVI (USD)</v>
      </c>
      <c r="I296" s="133" t="str">
        <f>G$125&amp;" ("&amp;Lbl_Curr_Intl_ABBR&amp;")"</f>
        <v>MoH (USD)</v>
      </c>
    </row>
    <row r="297" spans="5:10" s="23" customFormat="1">
      <c r="F297" s="151"/>
      <c r="G297" s="127">
        <v>0</v>
      </c>
      <c r="H297" s="127">
        <v>0</v>
      </c>
      <c r="I297" s="127">
        <v>0</v>
      </c>
    </row>
    <row r="298" spans="5:10" s="23" customFormat="1">
      <c r="F298" s="151"/>
      <c r="G298" s="127">
        <v>0</v>
      </c>
      <c r="H298" s="127">
        <v>0</v>
      </c>
      <c r="I298" s="127">
        <v>0</v>
      </c>
    </row>
    <row r="299" spans="5:10" s="23" customFormat="1">
      <c r="F299" s="151"/>
      <c r="G299" s="127">
        <v>0</v>
      </c>
      <c r="H299" s="127">
        <v>0</v>
      </c>
      <c r="I299" s="127">
        <v>0</v>
      </c>
    </row>
    <row r="300" spans="5:10" s="23" customFormat="1">
      <c r="F300" s="151"/>
      <c r="G300" s="201">
        <v>0</v>
      </c>
      <c r="H300" s="201">
        <v>0</v>
      </c>
      <c r="I300" s="201">
        <v>0</v>
      </c>
    </row>
    <row r="301" spans="5:10" s="23" customFormat="1" ht="15" thickBot="1">
      <c r="F301" s="152" t="s">
        <v>399</v>
      </c>
      <c r="G301" s="58">
        <f>SUM(G297:G300)</f>
        <v>0</v>
      </c>
      <c r="H301" s="58">
        <f>SUM(H297:H300)</f>
        <v>0</v>
      </c>
      <c r="I301" s="58">
        <f>SUM(I297:I300)</f>
        <v>0</v>
      </c>
    </row>
    <row r="302" spans="5:10" s="23" customFormat="1" ht="15" thickTop="1"/>
    <row r="303" spans="5:10" s="23" customFormat="1">
      <c r="E303" s="152" t="s">
        <v>401</v>
      </c>
    </row>
    <row r="304" spans="5:10" s="23" customFormat="1">
      <c r="F304" s="132" t="str">
        <f>G$123</f>
        <v>Commercial</v>
      </c>
      <c r="J304" s="115">
        <v>0</v>
      </c>
    </row>
    <row r="305" spans="2:10" s="23" customFormat="1">
      <c r="F305" s="132" t="str">
        <f>G$124</f>
        <v>PIVI</v>
      </c>
      <c r="J305" s="115">
        <v>0</v>
      </c>
    </row>
    <row r="306" spans="2:10" s="23" customFormat="1">
      <c r="F306" s="132" t="str">
        <f>G$125</f>
        <v>MoH</v>
      </c>
      <c r="J306" s="202">
        <v>134</v>
      </c>
    </row>
    <row r="307" spans="2:10" s="23" customFormat="1" ht="15" thickBot="1">
      <c r="F307" s="152" t="s">
        <v>403</v>
      </c>
      <c r="J307" s="145">
        <f>SUM(J304:J306)</f>
        <v>134</v>
      </c>
    </row>
    <row r="308" spans="2:10" s="23" customFormat="1" ht="15" thickTop="1"/>
    <row r="309" spans="2:10" s="23" customFormat="1">
      <c r="I309" s="61"/>
      <c r="J309" s="662"/>
    </row>
    <row r="310" spans="2:10" s="23" customFormat="1">
      <c r="E310" s="152" t="s">
        <v>876</v>
      </c>
      <c r="I310" s="61"/>
      <c r="J310" s="662"/>
    </row>
    <row r="311" spans="2:10" s="23" customFormat="1">
      <c r="E311" s="735"/>
      <c r="F311" s="736"/>
      <c r="I311" s="61"/>
      <c r="J311" s="662"/>
    </row>
    <row r="312" spans="2:10" s="23" customFormat="1">
      <c r="E312" s="735"/>
      <c r="F312" s="736"/>
      <c r="I312" s="61"/>
      <c r="J312" s="662"/>
    </row>
    <row r="313" spans="2:10" s="23" customFormat="1">
      <c r="E313" s="735"/>
      <c r="F313" s="736"/>
      <c r="I313" s="61"/>
      <c r="J313" s="662"/>
    </row>
    <row r="314" spans="2:10" s="23" customFormat="1"/>
    <row r="315" spans="2:10" s="23" customFormat="1" ht="17.399999999999999">
      <c r="B315" s="81" t="str">
        <f>"Output - Cost Estimate for Procuring "&amp;C281</f>
        <v>Output - Cost Estimate for Procuring Safety Box (100 capacity) to hold administered syringes</v>
      </c>
    </row>
    <row r="316" spans="2:10" s="23" customFormat="1">
      <c r="G316" s="124" t="str">
        <f>FLU_LU!$D$307</f>
        <v>Financial</v>
      </c>
    </row>
    <row r="317" spans="2:10" s="23" customFormat="1">
      <c r="H317" s="129" t="str">
        <f>G$123&amp;" ("&amp;Lbl_Curr_Intl_ABBR&amp;")"</f>
        <v>Commercial (USD)</v>
      </c>
      <c r="J317" s="14">
        <f>G287*J304</f>
        <v>0</v>
      </c>
    </row>
    <row r="318" spans="2:10" s="23" customFormat="1">
      <c r="H318" s="129" t="str">
        <f>G$124&amp;" ("&amp;Lbl_Curr_Intl_ABBR&amp;")"</f>
        <v>PIVI (USD)</v>
      </c>
      <c r="J318" s="14">
        <f>H287*J305</f>
        <v>0</v>
      </c>
    </row>
    <row r="319" spans="2:10" s="23" customFormat="1">
      <c r="H319" s="129" t="str">
        <f>G$125&amp;" ("&amp;Lbl_Curr_Intl_ABBR&amp;")"</f>
        <v>MoH (USD)</v>
      </c>
      <c r="J319" s="14">
        <f>I287*J306</f>
        <v>8.0399999999999991</v>
      </c>
    </row>
    <row r="320" spans="2:10" s="23" customFormat="1" ht="15" thickBot="1">
      <c r="H320" s="116" t="str">
        <f>"Total "&amp;G316</f>
        <v>Total Financial</v>
      </c>
      <c r="J320" s="58">
        <f>SUM(J317:J319)</f>
        <v>8.0399999999999991</v>
      </c>
    </row>
    <row r="321" spans="2:10" s="23" customFormat="1" ht="15" thickTop="1"/>
    <row r="322" spans="2:10" s="23" customFormat="1">
      <c r="G322" s="153" t="str">
        <f>FLU_LU!$D$308</f>
        <v>Economic</v>
      </c>
    </row>
    <row r="323" spans="2:10" s="23" customFormat="1">
      <c r="H323" s="129" t="str">
        <f>G$123&amp;" ("&amp;Lbl_Curr_Intl_ABBR&amp;")"</f>
        <v>Commercial (USD)</v>
      </c>
      <c r="J323" s="109">
        <f>G285*J304</f>
        <v>0</v>
      </c>
    </row>
    <row r="324" spans="2:10" s="23" customFormat="1">
      <c r="H324" s="129" t="str">
        <f>G$124&amp;" ("&amp;Lbl_Curr_Intl_ABBR&amp;")"</f>
        <v>PIVI (USD)</v>
      </c>
      <c r="J324" s="109">
        <f>H285*J305</f>
        <v>0</v>
      </c>
    </row>
    <row r="325" spans="2:10" s="23" customFormat="1">
      <c r="H325" s="129" t="str">
        <f>G$125&amp;" ("&amp;Lbl_Curr_Intl_ABBR&amp;")"</f>
        <v>MoH (USD)</v>
      </c>
      <c r="J325" s="14">
        <f>I285*J306</f>
        <v>8.0399999999999991</v>
      </c>
    </row>
    <row r="326" spans="2:10" s="23" customFormat="1" ht="15" thickBot="1">
      <c r="H326" s="116" t="str">
        <f>"Total "&amp;G322</f>
        <v>Total Economic</v>
      </c>
      <c r="J326" s="58">
        <f>SUM(J323:J325)</f>
        <v>8.0399999999999991</v>
      </c>
    </row>
    <row r="327" spans="2:10" s="23" customFormat="1" ht="15.6" thickTop="1" thickBot="1">
      <c r="B327" s="55"/>
      <c r="C327" s="55"/>
      <c r="D327" s="55"/>
      <c r="E327" s="55"/>
      <c r="F327" s="55"/>
      <c r="G327" s="55"/>
      <c r="H327" s="55"/>
      <c r="I327" s="55"/>
      <c r="J327" s="55"/>
    </row>
  </sheetData>
  <mergeCells count="46">
    <mergeCell ref="B3:E3"/>
    <mergeCell ref="E53:F53"/>
    <mergeCell ref="E54:F54"/>
    <mergeCell ref="E55:F55"/>
    <mergeCell ref="E62:F62"/>
    <mergeCell ref="E63:F63"/>
    <mergeCell ref="E64:F64"/>
    <mergeCell ref="E73:F73"/>
    <mergeCell ref="E74:F74"/>
    <mergeCell ref="E75:F75"/>
    <mergeCell ref="E82:F82"/>
    <mergeCell ref="E83:F83"/>
    <mergeCell ref="E84:F84"/>
    <mergeCell ref="E93:F93"/>
    <mergeCell ref="E94:F94"/>
    <mergeCell ref="E95:F95"/>
    <mergeCell ref="E102:F102"/>
    <mergeCell ref="E103:F103"/>
    <mergeCell ref="E104:F104"/>
    <mergeCell ref="E128:F128"/>
    <mergeCell ref="E129:F129"/>
    <mergeCell ref="E130:F130"/>
    <mergeCell ref="E143:F143"/>
    <mergeCell ref="E144:F144"/>
    <mergeCell ref="E145:F145"/>
    <mergeCell ref="E159:F159"/>
    <mergeCell ref="E160:F160"/>
    <mergeCell ref="E161:F161"/>
    <mergeCell ref="E191:F191"/>
    <mergeCell ref="E192:F192"/>
    <mergeCell ref="E193:F193"/>
    <mergeCell ref="E207:F207"/>
    <mergeCell ref="E208:F208"/>
    <mergeCell ref="E209:F209"/>
    <mergeCell ref="E241:F241"/>
    <mergeCell ref="E242:F242"/>
    <mergeCell ref="E243:F243"/>
    <mergeCell ref="E254:F254"/>
    <mergeCell ref="E255:F255"/>
    <mergeCell ref="E256:F256"/>
    <mergeCell ref="E313:F313"/>
    <mergeCell ref="E291:F291"/>
    <mergeCell ref="E292:F292"/>
    <mergeCell ref="E293:F293"/>
    <mergeCell ref="E311:F311"/>
    <mergeCell ref="E312:F312"/>
  </mergeCells>
  <dataValidations disablePrompts="1" count="1">
    <dataValidation type="custom" showErrorMessage="1" errorTitle="Invalid Assumption" error="Assumption must be a number." sqref="G139:I139 G187:I187 G136:I136 G184:I184 G150:I155 G198:I203 J164:J166 J212:J214 G69:G70 G78:G79 G89:G90 J48:J49 J58:J59 J304:J306 G283:I283 G247:I250 G237:I237 G286:I286 G234:I234 G297:I300 J259:J261 G98:G99" xr:uid="{00000000-0002-0000-0F00-000000000000}">
      <formula1>NOT(ISERROR(G48/1))</formula1>
    </dataValidation>
  </dataValidations>
  <hyperlinks>
    <hyperlink ref="B4" location="HL_Sheet_Main_57" tooltip="Go to Previous Sheet" display="HL_Sheet_Main_57" xr:uid="{00000000-0004-0000-0F00-000000000000}"/>
    <hyperlink ref="C4" location="HL_Sheet_Main_17" tooltip="Go to Next Sheet" display="HL_Sheet_Main_17" xr:uid="{00000000-0004-0000-0F00-000001000000}"/>
    <hyperlink ref="A4" location="$B$10" tooltip="Go to Top of Sheet" display="$B$10" xr:uid="{00000000-0004-0000-0F00-000002000000}"/>
    <hyperlink ref="B3" location="HL_Home" tooltip="Go to Table of Contents" display="HL_Home" xr:uid="{00000000-0004-0000-0F00-000003000000}"/>
    <hyperlink ref="D4" location="HL_Err_Chk" tooltip="Go to Error Checks" display="HL_Err_Chk" xr:uid="{00000000-0004-0000-0F00-000004000000}"/>
    <hyperlink ref="E4" location="HL_Sens_Chk" tooltip="Go to Sensitivity Checks" display="HL_Sens_Chk" xr:uid="{00000000-0004-0000-0F00-000005000000}"/>
    <hyperlink ref="F4" location="HL_Alt_Chk" tooltip="Go to Alert Checks" display="HL_Alt_Chk" xr:uid="{00000000-0004-0000-0F00-000006000000}"/>
  </hyperlinks>
  <pageMargins left="0.4" right="0.4" top="0.6" bottom="1" header="0" footer="0.3"/>
  <pageSetup orientation="landscape" horizontalDpi="4294967292" verticalDpi="0" r:id="rId1"/>
  <headerFooter>
    <oddFooter>&amp;L&amp;F
&amp;A
Printed: &amp;T on &amp;D&amp;C&amp;",Bold"Sheet h.
Page &amp;P of &amp;N</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2"/>
    <pageSetUpPr autoPageBreaks="0"/>
  </sheetPr>
  <dimension ref="A1:J110"/>
  <sheetViews>
    <sheetView showGridLines="0" zoomScaleNormal="100" workbookViewId="0">
      <pane xSplit="1" ySplit="9" topLeftCell="B10" activePane="bottomRight" state="frozen"/>
      <selection pane="topRight" activeCell="B1" sqref="B1"/>
      <selection pane="bottomLeft" activeCell="A12" sqref="A12"/>
      <selection pane="bottomRight"/>
    </sheetView>
  </sheetViews>
  <sheetFormatPr defaultColWidth="11.6640625" defaultRowHeight="14.4" outlineLevelRow="2"/>
  <cols>
    <col min="1" max="2" width="3.6640625" customWidth="1"/>
    <col min="3" max="3" width="5.6640625" customWidth="1"/>
    <col min="4" max="5" width="3.6640625" customWidth="1"/>
    <col min="6" max="6" width="45.6640625" customWidth="1"/>
    <col min="7" max="9" width="14.6640625" customWidth="1"/>
    <col min="10" max="10" width="15.6640625" customWidth="1"/>
  </cols>
  <sheetData>
    <row r="1" spans="1:10" ht="21">
      <c r="B1" s="56" t="s">
        <v>565</v>
      </c>
    </row>
    <row r="2" spans="1:10" ht="18">
      <c r="B2" s="164" t="str">
        <f>Model_Name</f>
        <v>Seasonal Influenza Immunization Costing Tool (SIICT)  - Test Country</v>
      </c>
    </row>
    <row r="3" spans="1:10">
      <c r="B3" s="668" t="s">
        <v>1</v>
      </c>
      <c r="C3" s="668"/>
      <c r="D3" s="668"/>
      <c r="E3" s="668"/>
      <c r="F3" s="668"/>
    </row>
    <row r="4" spans="1:10">
      <c r="A4" s="54" t="s">
        <v>3</v>
      </c>
      <c r="B4" s="5" t="s">
        <v>4</v>
      </c>
      <c r="C4" s="6" t="s">
        <v>5</v>
      </c>
      <c r="D4" s="394" t="s">
        <v>25</v>
      </c>
      <c r="E4" s="330" t="s">
        <v>26</v>
      </c>
      <c r="F4" s="395" t="s">
        <v>27</v>
      </c>
    </row>
    <row r="5" spans="1:10" s="134" customFormat="1">
      <c r="B5" s="103" t="str">
        <f>"Influenza Season Starting "&amp;TS_First_Fin_Yr</f>
        <v>Influenza Season Starting 2018</v>
      </c>
      <c r="C5" s="20"/>
      <c r="D5" s="20"/>
      <c r="E5" s="20"/>
      <c r="F5" s="20"/>
      <c r="G5" s="20"/>
      <c r="H5" s="20"/>
      <c r="I5" s="20"/>
      <c r="J5" s="21" t="str">
        <f>TS_First_Fin_Yr&amp;"-"&amp;(TS_First_Fin_Yr+1)</f>
        <v>2018-2019</v>
      </c>
    </row>
    <row r="6" spans="1:10" s="134" customFormat="1" hidden="1" outlineLevel="2">
      <c r="B6" s="68" t="s">
        <v>75</v>
      </c>
      <c r="C6" s="12"/>
      <c r="D6" s="12"/>
      <c r="E6" s="12"/>
      <c r="F6" s="12"/>
      <c r="G6" s="12"/>
      <c r="H6" s="12"/>
      <c r="I6" s="12"/>
      <c r="J6" s="161">
        <f>MAX(EDATE(TS_Start_Date,(J8-1)*TS_Mths_In_Yr-MOD(MONTH(TS_Start_Date)-DD_TS_Fin_Yr_End_Mth-1,TS_Mths_In_Yr)),TS_Start_Date)</f>
        <v>43282</v>
      </c>
    </row>
    <row r="7" spans="1:10" s="134" customFormat="1" hidden="1" outlineLevel="2">
      <c r="B7" s="68" t="s">
        <v>76</v>
      </c>
      <c r="C7" s="12"/>
      <c r="D7" s="12"/>
      <c r="E7" s="12"/>
      <c r="F7" s="12"/>
      <c r="G7" s="12"/>
      <c r="H7" s="12"/>
      <c r="I7" s="12"/>
      <c r="J7" s="161">
        <f>MIN(EOMONTH(TS_Start_Date,J8*TS_Mths_In_Yr-MOD(MONTH(TS_Start_Date)-DD_TS_Fin_Yr_End_Mth-1,TS_Mths_In_Yr)-1),TS_End_Date)</f>
        <v>43465</v>
      </c>
    </row>
    <row r="8" spans="1:10" s="134" customFormat="1" hidden="1" outlineLevel="2">
      <c r="B8" s="68" t="s">
        <v>77</v>
      </c>
      <c r="C8" s="12"/>
      <c r="D8" s="12"/>
      <c r="E8" s="12"/>
      <c r="F8" s="12"/>
      <c r="G8" s="12"/>
      <c r="H8" s="12"/>
      <c r="I8" s="12"/>
      <c r="J8" s="167">
        <f>COLUMNS($J8:J8)</f>
        <v>1</v>
      </c>
    </row>
    <row r="9" spans="1:10" s="134" customFormat="1" hidden="1" outlineLevel="2">
      <c r="B9" s="22" t="s">
        <v>78</v>
      </c>
      <c r="C9" s="20"/>
      <c r="D9" s="20"/>
      <c r="E9" s="20"/>
      <c r="F9" s="20"/>
      <c r="G9" s="20"/>
      <c r="H9" s="20"/>
      <c r="I9" s="20"/>
      <c r="J9" s="168">
        <f>YEAR(J7)+IF(MONTH(J7)&gt;DD_TS_Fin_Yr_End_Mth,1,0)</f>
        <v>2018</v>
      </c>
    </row>
    <row r="10" spans="1:10" s="134" customFormat="1" collapsed="1"/>
    <row r="11" spans="1:10" s="134" customFormat="1"/>
    <row r="12" spans="1:10" s="134" customFormat="1" ht="17.399999999999999">
      <c r="B12" s="15" t="s">
        <v>569</v>
      </c>
    </row>
    <row r="13" spans="1:10" s="23" customFormat="1"/>
    <row r="14" spans="1:10" s="23" customFormat="1" ht="15.6">
      <c r="C14" s="111" t="s">
        <v>445</v>
      </c>
      <c r="D14" s="152" t="s">
        <v>570</v>
      </c>
    </row>
    <row r="15" spans="1:10" s="23" customFormat="1">
      <c r="F15" s="152" t="s">
        <v>444</v>
      </c>
      <c r="G15" s="152" t="s">
        <v>600</v>
      </c>
    </row>
    <row r="16" spans="1:10" s="23" customFormat="1">
      <c r="F16" s="151" t="s">
        <v>784</v>
      </c>
      <c r="G16" s="667" t="s">
        <v>798</v>
      </c>
      <c r="H16" s="667"/>
      <c r="I16" s="667"/>
    </row>
    <row r="17" spans="3:10" s="23" customFormat="1">
      <c r="F17" s="151" t="s">
        <v>785</v>
      </c>
      <c r="G17" s="667" t="s">
        <v>799</v>
      </c>
      <c r="H17" s="667"/>
      <c r="I17" s="667"/>
    </row>
    <row r="18" spans="3:10" s="23" customFormat="1">
      <c r="F18" s="151" t="s">
        <v>786</v>
      </c>
      <c r="G18" s="667" t="s">
        <v>800</v>
      </c>
      <c r="H18" s="667"/>
      <c r="I18" s="667"/>
    </row>
    <row r="19" spans="3:10" s="23" customFormat="1"/>
    <row r="20" spans="3:10" s="23" customFormat="1"/>
    <row r="21" spans="3:10" s="23" customFormat="1" ht="15.6">
      <c r="C21" s="111" t="s">
        <v>483</v>
      </c>
      <c r="D21" s="152" t="s">
        <v>832</v>
      </c>
    </row>
    <row r="22" spans="3:10" s="23" customFormat="1">
      <c r="C22" s="20"/>
      <c r="D22" s="20"/>
      <c r="E22" s="20"/>
      <c r="F22" s="20"/>
      <c r="G22" s="20"/>
      <c r="H22" s="20"/>
      <c r="I22" s="20"/>
    </row>
    <row r="23" spans="3:10" s="23" customFormat="1"/>
    <row r="24" spans="3:10" s="23" customFormat="1"/>
    <row r="25" spans="3:10" s="134" customFormat="1"/>
    <row r="26" spans="3:10" s="23" customFormat="1" ht="15.6">
      <c r="C26" s="171" t="str">
        <f>FLU_LU!$D$326</f>
        <v>Plan and prepare for distribution.</v>
      </c>
    </row>
    <row r="27" spans="3:10" s="23" customFormat="1">
      <c r="F27" s="160" t="str">
        <f>G$16</f>
        <v>Plan and Preparation Completed</v>
      </c>
    </row>
    <row r="28" spans="3:10" s="23" customFormat="1"/>
    <row r="29" spans="3:10" s="23" customFormat="1" ht="57.6">
      <c r="C29" s="94" t="s">
        <v>194</v>
      </c>
      <c r="D29" s="111" t="s">
        <v>439</v>
      </c>
      <c r="G29" s="152" t="s">
        <v>117</v>
      </c>
      <c r="H29" s="72" t="s">
        <v>476</v>
      </c>
      <c r="J29" s="72" t="s">
        <v>477</v>
      </c>
    </row>
    <row r="30" spans="3:10" s="23" customFormat="1">
      <c r="G30" s="31">
        <v>2</v>
      </c>
    </row>
    <row r="31" spans="3:10" s="23" customFormat="1">
      <c r="F31" s="152" t="s">
        <v>189</v>
      </c>
      <c r="H31" s="95">
        <f ca="1">IF($G$30=2,DISTRIBUTION_BA!L91,DISTRIBUTION_BA!N91)</f>
        <v>0</v>
      </c>
      <c r="I31" s="159" t="str">
        <f ca="1">OFFSET(FLU_LU!$D$77,$G$30,0)</f>
        <v>GOZ</v>
      </c>
      <c r="J31" s="115"/>
    </row>
    <row r="32" spans="3:10" s="23" customFormat="1">
      <c r="F32" s="152" t="s">
        <v>190</v>
      </c>
      <c r="H32" s="95">
        <f ca="1">IF($G$30=2,DISTRIBUTION_BA!M91,DISTRIBUTION_BA!O91)</f>
        <v>47731.268749999996</v>
      </c>
      <c r="I32" s="159" t="str">
        <f ca="1">OFFSET(FLU_LU!$D$77,$G$30,0)</f>
        <v>GOZ</v>
      </c>
      <c r="J32" s="115">
        <v>47731</v>
      </c>
    </row>
    <row r="33" spans="2:10" s="23" customFormat="1"/>
    <row r="34" spans="2:10" s="23" customFormat="1">
      <c r="E34" s="716" t="str">
        <f>"Go to "&amp;HL_FLU_Detailed_Distribution_A</f>
        <v>Go to Detailed Cost Estimate: Plan and prepare for distribution.</v>
      </c>
      <c r="F34" s="716"/>
      <c r="G34" s="716"/>
    </row>
    <row r="35" spans="2:10" s="23" customFormat="1"/>
    <row r="36" spans="2:10" s="23" customFormat="1" ht="15.6">
      <c r="D36" s="111" t="s">
        <v>479</v>
      </c>
    </row>
    <row r="37" spans="2:10" s="23" customFormat="1">
      <c r="F37" s="667"/>
      <c r="G37" s="667"/>
      <c r="H37" s="667"/>
      <c r="I37" s="667"/>
    </row>
    <row r="38" spans="2:10" s="23" customFormat="1">
      <c r="F38" s="667"/>
      <c r="G38" s="667"/>
      <c r="H38" s="667"/>
      <c r="I38" s="667"/>
    </row>
    <row r="39" spans="2:10" s="23" customFormat="1">
      <c r="F39" s="667"/>
      <c r="G39" s="667"/>
      <c r="H39" s="667"/>
      <c r="I39" s="667"/>
      <c r="J39" s="12"/>
    </row>
    <row r="40" spans="2:10" s="23" customFormat="1"/>
    <row r="41" spans="2:10" s="23" customFormat="1" ht="15.6">
      <c r="D41" s="111" t="s">
        <v>604</v>
      </c>
      <c r="J41" s="115">
        <v>1</v>
      </c>
    </row>
    <row r="42" spans="2:10" s="23" customFormat="1"/>
    <row r="43" spans="2:10" s="23" customFormat="1" ht="15.6">
      <c r="B43" s="82" t="str">
        <f>"OUTPUT - TOTAL ACTIVITIES COST FOR "&amp;FLU_LU!$D$326</f>
        <v>OUTPUT - TOTAL ACTIVITIES COST FOR Plan and prepare for distribution.</v>
      </c>
    </row>
    <row r="44" spans="2:10" s="23" customFormat="1"/>
    <row r="45" spans="2:10" s="23" customFormat="1">
      <c r="F45" s="155" t="str">
        <f>"Total Cost ("&amp;FLU_LU!$D$78&amp;")"</f>
        <v>Total Cost (USD)</v>
      </c>
      <c r="J45" s="12"/>
    </row>
    <row r="46" spans="2:10" s="23" customFormat="1">
      <c r="I46" s="68" t="s">
        <v>166</v>
      </c>
      <c r="J46" s="257">
        <f>IF($G$30=1,J31*J41,(J31*J41)/FLU_XCHANGE_YR1)</f>
        <v>0</v>
      </c>
    </row>
    <row r="47" spans="2:10" s="23" customFormat="1">
      <c r="I47" s="68" t="s">
        <v>167</v>
      </c>
      <c r="J47" s="257">
        <f>IF($G$30=1,J32*J41,(J32*J41)/FLU_XCHANGE_YR1)</f>
        <v>318.20666666666665</v>
      </c>
    </row>
    <row r="48" spans="2:10" s="23" customFormat="1"/>
    <row r="49" spans="3:10" s="23" customFormat="1">
      <c r="F49" s="155" t="str">
        <f>"Total Cost ("&amp;FLU_LU!$D$79&amp;")"</f>
        <v>Total Cost (GOZ)</v>
      </c>
      <c r="I49" s="68" t="s">
        <v>166</v>
      </c>
      <c r="J49" s="195">
        <f>J46*FLU_XCHANGE_YR1</f>
        <v>0</v>
      </c>
    </row>
    <row r="50" spans="3:10" s="23" customFormat="1">
      <c r="I50" s="68" t="s">
        <v>167</v>
      </c>
      <c r="J50" s="195">
        <f>J47*FLU_XCHANGE_YR1</f>
        <v>47731</v>
      </c>
    </row>
    <row r="51" spans="3:10" s="23" customFormat="1" ht="15" thickBot="1">
      <c r="C51" s="55"/>
      <c r="D51" s="55"/>
      <c r="E51" s="55"/>
      <c r="F51" s="55"/>
      <c r="G51" s="55"/>
      <c r="H51" s="55"/>
      <c r="I51" s="55"/>
      <c r="J51" s="55"/>
    </row>
    <row r="52" spans="3:10" s="23" customFormat="1"/>
    <row r="53" spans="3:10" s="134" customFormat="1"/>
    <row r="54" spans="3:10" s="134" customFormat="1"/>
    <row r="55" spans="3:10" s="134" customFormat="1"/>
    <row r="56" spans="3:10" s="134" customFormat="1" ht="15.6">
      <c r="C56" s="171" t="str">
        <f>FLU_LU!$D$327</f>
        <v>Distribute Vacc Materials from IPH to 12 Directorates</v>
      </c>
    </row>
    <row r="57" spans="3:10" s="134" customFormat="1">
      <c r="F57" s="160" t="str">
        <f>G$17</f>
        <v>Distribution to Directorats Completed</v>
      </c>
    </row>
    <row r="58" spans="3:10" s="134" customFormat="1"/>
    <row r="59" spans="3:10" s="134" customFormat="1" ht="57.6">
      <c r="C59" s="94" t="s">
        <v>194</v>
      </c>
      <c r="D59" s="111" t="s">
        <v>439</v>
      </c>
      <c r="G59" s="152" t="s">
        <v>117</v>
      </c>
      <c r="H59" s="72" t="s">
        <v>476</v>
      </c>
      <c r="J59" s="72" t="s">
        <v>477</v>
      </c>
    </row>
    <row r="60" spans="3:10" s="134" customFormat="1">
      <c r="G60" s="31">
        <v>2</v>
      </c>
    </row>
    <row r="61" spans="3:10" s="134" customFormat="1">
      <c r="F61" s="152" t="s">
        <v>189</v>
      </c>
      <c r="H61" s="95">
        <f ca="1">IF($G$60=2,DISTRIBUTION_BA!L176,DISTRIBUTION_BA!N176)</f>
        <v>275600</v>
      </c>
      <c r="I61" s="159" t="str">
        <f ca="1">OFFSET(FLU_LU!$D$77,$G$60,0)</f>
        <v>GOZ</v>
      </c>
      <c r="J61" s="329">
        <f ca="1">H61</f>
        <v>275600</v>
      </c>
    </row>
    <row r="62" spans="3:10" s="134" customFormat="1">
      <c r="F62" s="152" t="s">
        <v>190</v>
      </c>
      <c r="H62" s="95">
        <f ca="1">IF($G$60=2,DISTRIBUTION_BA!M176,DISTRIBUTION_BA!O176)</f>
        <v>418099.92272727273</v>
      </c>
      <c r="I62" s="159" t="str">
        <f ca="1">OFFSET(FLU_LU!$D$77,$G$60,0)</f>
        <v>GOZ</v>
      </c>
      <c r="J62" s="329">
        <f ca="1">H62</f>
        <v>418099.92272727273</v>
      </c>
    </row>
    <row r="63" spans="3:10" s="134" customFormat="1"/>
    <row r="64" spans="3:10" s="134" customFormat="1">
      <c r="D64" s="716" t="str">
        <f>"Go to "&amp;HL_FLU_Detailed_Distribution_B</f>
        <v>Go to Detailed Cost Estimate: Distribute Vacc Materials from IPH to 12 Directorates</v>
      </c>
      <c r="E64" s="716"/>
      <c r="F64" s="716"/>
    </row>
    <row r="65" spans="2:10" s="134" customFormat="1"/>
    <row r="66" spans="2:10" s="134" customFormat="1" ht="15.6">
      <c r="D66" s="111" t="s">
        <v>479</v>
      </c>
    </row>
    <row r="67" spans="2:10" s="134" customFormat="1">
      <c r="F67" s="667" t="s">
        <v>665</v>
      </c>
      <c r="G67" s="667"/>
      <c r="H67" s="667"/>
      <c r="I67" s="667"/>
    </row>
    <row r="68" spans="2:10" s="134" customFormat="1">
      <c r="F68" s="667"/>
      <c r="G68" s="667"/>
      <c r="H68" s="667"/>
      <c r="I68" s="667"/>
    </row>
    <row r="69" spans="2:10" s="134" customFormat="1">
      <c r="F69" s="667"/>
      <c r="G69" s="667"/>
      <c r="H69" s="667"/>
      <c r="I69" s="667"/>
      <c r="J69" s="12"/>
    </row>
    <row r="70" spans="2:10" s="134" customFormat="1"/>
    <row r="71" spans="2:10" s="134" customFormat="1" ht="15.6">
      <c r="D71" s="111" t="s">
        <v>604</v>
      </c>
      <c r="J71" s="115">
        <v>1</v>
      </c>
    </row>
    <row r="72" spans="2:10" s="134" customFormat="1"/>
    <row r="73" spans="2:10" s="134" customFormat="1" ht="15.6">
      <c r="B73" s="82" t="str">
        <f>"OUTPUT - TOTAL ACTIVITIES COST FOR "&amp;FLU_LU!$D$327</f>
        <v>OUTPUT - TOTAL ACTIVITIES COST FOR Distribute Vacc Materials from IPH to 12 Directorates</v>
      </c>
    </row>
    <row r="74" spans="2:10" s="134" customFormat="1"/>
    <row r="75" spans="2:10" s="134" customFormat="1">
      <c r="F75" s="155" t="str">
        <f>"Total Cost ("&amp;FLU_LU!$D$78&amp;")"</f>
        <v>Total Cost (USD)</v>
      </c>
      <c r="J75" s="12"/>
    </row>
    <row r="76" spans="2:10" s="134" customFormat="1">
      <c r="I76" s="68" t="s">
        <v>166</v>
      </c>
      <c r="J76" s="257">
        <f ca="1">IF($G$60=1,J61*J71,(J61*J71)/FLU_XCHANGE_YR1)</f>
        <v>1837.3333333333333</v>
      </c>
    </row>
    <row r="77" spans="2:10" s="134" customFormat="1">
      <c r="I77" s="68" t="s">
        <v>167</v>
      </c>
      <c r="J77" s="257">
        <f ca="1">IF($G$60=1,J62*J71,(J62*J71)/FLU_XCHANGE_YR1)</f>
        <v>2787.3328181818183</v>
      </c>
    </row>
    <row r="78" spans="2:10" s="134" customFormat="1"/>
    <row r="79" spans="2:10" s="134" customFormat="1">
      <c r="F79" s="155" t="str">
        <f>"Total Cost ("&amp;FLU_LU!$D$79&amp;")"</f>
        <v>Total Cost (GOZ)</v>
      </c>
      <c r="I79" s="68" t="s">
        <v>166</v>
      </c>
      <c r="J79" s="195">
        <f ca="1">J76*FLU_XCHANGE_YR1</f>
        <v>275600</v>
      </c>
    </row>
    <row r="80" spans="2:10" s="134" customFormat="1">
      <c r="I80" s="68" t="s">
        <v>167</v>
      </c>
      <c r="J80" s="195">
        <f ca="1">J77*FLU_XCHANGE_YR1</f>
        <v>418099.92272727273</v>
      </c>
    </row>
    <row r="81" spans="3:10" s="134" customFormat="1" ht="15" thickBot="1">
      <c r="C81" s="55"/>
      <c r="D81" s="55"/>
      <c r="E81" s="55"/>
      <c r="F81" s="55"/>
      <c r="G81" s="55"/>
      <c r="H81" s="55"/>
      <c r="I81" s="55"/>
      <c r="J81" s="55"/>
    </row>
    <row r="82" spans="3:10" s="134" customFormat="1"/>
    <row r="83" spans="3:10" s="134" customFormat="1"/>
    <row r="84" spans="3:10" s="134" customFormat="1" ht="15.6">
      <c r="C84" s="171" t="str">
        <f>FLU_LU!$D$328</f>
        <v>Distribute Vacc Materials from 12 Directorates to Health Facilities</v>
      </c>
    </row>
    <row r="85" spans="3:10" s="134" customFormat="1">
      <c r="F85" s="160" t="str">
        <f>G$18</f>
        <v>Health Facilities have picked up Vacc Materials</v>
      </c>
    </row>
    <row r="86" spans="3:10" s="134" customFormat="1"/>
    <row r="87" spans="3:10" s="134" customFormat="1" ht="57.6">
      <c r="C87" s="94" t="s">
        <v>194</v>
      </c>
      <c r="D87" s="111" t="s">
        <v>439</v>
      </c>
      <c r="G87" s="152" t="s">
        <v>117</v>
      </c>
      <c r="H87" s="72" t="s">
        <v>476</v>
      </c>
      <c r="J87" s="72" t="s">
        <v>477</v>
      </c>
    </row>
    <row r="88" spans="3:10" s="134" customFormat="1">
      <c r="G88" s="31">
        <v>2</v>
      </c>
    </row>
    <row r="89" spans="3:10" s="134" customFormat="1">
      <c r="F89" s="152" t="s">
        <v>189</v>
      </c>
      <c r="H89" s="95">
        <f ca="1">IF($G$88=2,DISTRIBUTION_BA!L261,DISTRIBUTION_BA!N261)</f>
        <v>0</v>
      </c>
      <c r="I89" s="159" t="str">
        <f ca="1">OFFSET(FLU_LU!$D$77,$G$88,0)</f>
        <v>GOZ</v>
      </c>
      <c r="J89" s="329">
        <f ca="1">H89</f>
        <v>0</v>
      </c>
    </row>
    <row r="90" spans="3:10" s="134" customFormat="1">
      <c r="F90" s="152" t="s">
        <v>190</v>
      </c>
      <c r="H90" s="95">
        <f ca="1">IF($G$88=2,DISTRIBUTION_BA!M261,DISTRIBUTION_BA!O261)</f>
        <v>1074170.4545454546</v>
      </c>
      <c r="I90" s="159" t="str">
        <f ca="1">OFFSET(FLU_LU!$D$77,$G$88,0)</f>
        <v>GOZ</v>
      </c>
      <c r="J90" s="329">
        <f ca="1">H90</f>
        <v>1074170.4545454546</v>
      </c>
    </row>
    <row r="91" spans="3:10" s="134" customFormat="1"/>
    <row r="92" spans="3:10" s="134" customFormat="1">
      <c r="D92" s="716" t="str">
        <f>"Go to "&amp;HL_FLU_Detailed_DIstribution_C</f>
        <v>Go to Detailed Cost Estimate: Distribute Vacc Materials from 12 Directorates to Health Facilities</v>
      </c>
      <c r="E92" s="716"/>
      <c r="F92" s="716"/>
      <c r="G92" s="716"/>
      <c r="H92" s="716"/>
    </row>
    <row r="93" spans="3:10" s="134" customFormat="1"/>
    <row r="94" spans="3:10" s="134" customFormat="1" ht="15.6">
      <c r="D94" s="111" t="s">
        <v>479</v>
      </c>
    </row>
    <row r="95" spans="3:10" s="134" customFormat="1">
      <c r="F95" s="667" t="s">
        <v>666</v>
      </c>
      <c r="G95" s="667"/>
      <c r="H95" s="667"/>
      <c r="I95" s="667"/>
    </row>
    <row r="96" spans="3:10" s="134" customFormat="1">
      <c r="F96" s="667" t="s">
        <v>667</v>
      </c>
      <c r="G96" s="667"/>
      <c r="H96" s="667"/>
      <c r="I96" s="667"/>
    </row>
    <row r="97" spans="2:10" s="134" customFormat="1">
      <c r="F97" s="667" t="s">
        <v>668</v>
      </c>
      <c r="G97" s="667"/>
      <c r="H97" s="667"/>
      <c r="I97" s="667"/>
      <c r="J97" s="12"/>
    </row>
    <row r="98" spans="2:10" s="23" customFormat="1">
      <c r="F98" s="667" t="s">
        <v>677</v>
      </c>
      <c r="G98" s="667"/>
      <c r="H98" s="667"/>
      <c r="I98" s="667"/>
    </row>
    <row r="99" spans="2:10" s="134" customFormat="1"/>
    <row r="100" spans="2:10" s="134" customFormat="1" ht="15.6">
      <c r="D100" s="111" t="s">
        <v>604</v>
      </c>
      <c r="J100" s="115">
        <v>1</v>
      </c>
    </row>
    <row r="101" spans="2:10" s="134" customFormat="1"/>
    <row r="102" spans="2:10" s="134" customFormat="1" ht="15.6">
      <c r="B102" s="82" t="str">
        <f>"OUTPUT - TOTAL ACTIVITIES COST FOR "&amp;FLU_LU!$D$328</f>
        <v>OUTPUT - TOTAL ACTIVITIES COST FOR Distribute Vacc Materials from 12 Directorates to Health Facilities</v>
      </c>
    </row>
    <row r="103" spans="2:10" s="134" customFormat="1"/>
    <row r="104" spans="2:10" s="134" customFormat="1">
      <c r="F104" s="155" t="str">
        <f>"Total Cost ("&amp;FLU_LU!$D$78&amp;")"</f>
        <v>Total Cost (USD)</v>
      </c>
      <c r="J104" s="12"/>
    </row>
    <row r="105" spans="2:10" s="134" customFormat="1">
      <c r="I105" s="68" t="s">
        <v>166</v>
      </c>
      <c r="J105" s="257">
        <f ca="1">IF($G$88=1,J89*J100,(J89*J100)/FLU_XCHANGE_YR1)</f>
        <v>0</v>
      </c>
    </row>
    <row r="106" spans="2:10" s="134" customFormat="1">
      <c r="I106" s="68" t="s">
        <v>167</v>
      </c>
      <c r="J106" s="257">
        <f ca="1">IF($G$88=1,J90*J100,(J90*J100)/FLU_XCHANGE_YR1)</f>
        <v>7161.136363636364</v>
      </c>
    </row>
    <row r="107" spans="2:10" s="134" customFormat="1"/>
    <row r="108" spans="2:10" s="134" customFormat="1">
      <c r="F108" s="155" t="str">
        <f>"Total Cost ("&amp;FLU_LU!$D$79&amp;")"</f>
        <v>Total Cost (GOZ)</v>
      </c>
      <c r="I108" s="68" t="s">
        <v>166</v>
      </c>
      <c r="J108" s="195">
        <f ca="1">J105*FLU_XCHANGE_YR1</f>
        <v>0</v>
      </c>
    </row>
    <row r="109" spans="2:10" s="134" customFormat="1">
      <c r="I109" s="68" t="s">
        <v>167</v>
      </c>
      <c r="J109" s="195">
        <f ca="1">J106*FLU_XCHANGE_YR1</f>
        <v>1074170.4545454546</v>
      </c>
    </row>
    <row r="110" spans="2:10" s="134" customFormat="1" ht="15" thickBot="1">
      <c r="C110" s="55"/>
      <c r="D110" s="55"/>
      <c r="E110" s="55"/>
      <c r="F110" s="55"/>
      <c r="G110" s="55"/>
      <c r="H110" s="55"/>
      <c r="I110" s="55"/>
      <c r="J110" s="55"/>
    </row>
  </sheetData>
  <mergeCells count="17">
    <mergeCell ref="F67:I67"/>
    <mergeCell ref="F68:I68"/>
    <mergeCell ref="F69:I69"/>
    <mergeCell ref="F39:I39"/>
    <mergeCell ref="F98:I98"/>
    <mergeCell ref="D92:H92"/>
    <mergeCell ref="F95:I95"/>
    <mergeCell ref="F96:I96"/>
    <mergeCell ref="F97:I97"/>
    <mergeCell ref="D64:F64"/>
    <mergeCell ref="B3:F3"/>
    <mergeCell ref="F37:I37"/>
    <mergeCell ref="F38:I38"/>
    <mergeCell ref="G16:I16"/>
    <mergeCell ref="G17:I17"/>
    <mergeCell ref="G18:I18"/>
    <mergeCell ref="E34:G34"/>
  </mergeCells>
  <dataValidations disablePrompts="1" count="2">
    <dataValidation type="custom" showErrorMessage="1" errorTitle="Invalid Assumption" error="Assumption must be a number." sqref="J41 J31:J32 J100 J89:J90 J71 J61:J62" xr:uid="{00000000-0002-0000-1000-000000000000}">
      <formula1>NOT(ISERROR(J31/1))</formula1>
    </dataValidation>
    <dataValidation type="whole" showDropDown="1" showErrorMessage="1" errorTitle="Drop Down Box Cell Link" error="The value in a drop down box cell link must be a whole number within the control's lookup range rows." sqref="G30 G88 G60" xr:uid="{00000000-0002-0000-1000-000001000000}">
      <formula1>1</formula1>
      <formula2>ROWS(LU_FLU_Curr_Code)</formula2>
    </dataValidation>
  </dataValidations>
  <hyperlinks>
    <hyperlink ref="B4" location="HL_Sheet_Main_61" tooltip="Go to Previous Sheet" display="HL_Sheet_Main_61" xr:uid="{00000000-0004-0000-1000-000000000000}"/>
    <hyperlink ref="D64:F64" location="HL_FLU_Detailed_Distribution_B" tooltip="Click to follow hyperlink." display="HL_FLU_Detailed_Distribution_B" xr:uid="{00000000-0004-0000-1000-000001000000}"/>
    <hyperlink ref="E34" location="HL_FLU_Detailed_Distribution_A" tooltip="Click to follow hyperlink." display="HL_FLU_Detailed_Distribution_A" xr:uid="{00000000-0004-0000-1000-000002000000}"/>
    <hyperlink ref="D92" location="HL_FLU_Detailed_DIstribution_C" tooltip="Click to follow hyperlink." display="HL_FLU_Detailed_DIstribution_C" xr:uid="{00000000-0004-0000-1000-000003000000}"/>
    <hyperlink ref="D92:H92" location="HL_FLU_Detailed_DIstribution_C" tooltip="Click to follow hyperlink." display="HL_FLU_Detailed_DIstribution_C" xr:uid="{00000000-0004-0000-1000-000004000000}"/>
    <hyperlink ref="E34:G34" location="HL_FLU_Detailed_Distribution_A" tooltip="Click to follow hyperlink." display="HL_FLU_Detailed_Distribution_A" xr:uid="{00000000-0004-0000-1000-000005000000}"/>
    <hyperlink ref="C4" location="HL_Sheet_Main_5" tooltip="Go to Next Sheet" display="HL_Sheet_Main_5" xr:uid="{00000000-0004-0000-1000-000006000000}"/>
    <hyperlink ref="A4" location="$B$10" tooltip="Go to Top of Sheet" display="$B$10" xr:uid="{00000000-0004-0000-1000-000007000000}"/>
    <hyperlink ref="B3" location="HL_Home" tooltip="Go to Table of Contents" display="HL_Home" xr:uid="{00000000-0004-0000-1000-000008000000}"/>
    <hyperlink ref="D4" location="HL_Err_Chk" tooltip="Go to Error Checks" display="HL_Err_Chk" xr:uid="{00000000-0004-0000-1000-000009000000}"/>
    <hyperlink ref="E4" location="HL_Sens_Chk" tooltip="Go to Sensitivity Checks" display="HL_Sens_Chk" xr:uid="{00000000-0004-0000-1000-00000A000000}"/>
    <hyperlink ref="F4" location="HL_Alt_Chk" tooltip="Go to Alert Checks" display="HL_Alt_Chk" xr:uid="{00000000-0004-0000-1000-00000B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536" r:id="rId4" name="bpmDropDownFLU41">
              <controlPr defaultSize="0" autoFill="0" autoPict="0">
                <anchor mov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046547" r:id="rId5" name="bpmDropDownFLU42">
              <controlPr defaultSize="0" autoFill="0" autoPict="0">
                <anchor mov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046548" r:id="rId6" name="bpmDropDownFLU43">
              <controlPr defaultSize="0" autoFill="0" autoPict="0">
                <anchor moveWithCells="1">
                  <from>
                    <xdr:col>6</xdr:col>
                    <xdr:colOff>0</xdr:colOff>
                    <xdr:row>87</xdr:row>
                    <xdr:rowOff>0</xdr:rowOff>
                  </from>
                  <to>
                    <xdr:col>7</xdr:col>
                    <xdr:colOff>0</xdr:colOff>
                    <xdr:row>88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2"/>
    <pageSetUpPr autoPageBreaks="0"/>
  </sheetPr>
  <dimension ref="A1:J102"/>
  <sheetViews>
    <sheetView showGridLines="0" zoomScaleNormal="100" workbookViewId="0">
      <pane xSplit="1" ySplit="9" topLeftCell="B10" activePane="bottomRight" state="frozen"/>
      <selection pane="topRight" activeCell="B1" sqref="B1"/>
      <selection pane="bottomLeft" activeCell="A12" sqref="A12"/>
      <selection pane="bottomRight"/>
    </sheetView>
  </sheetViews>
  <sheetFormatPr defaultColWidth="11.6640625" defaultRowHeight="14.4" outlineLevelRow="2"/>
  <cols>
    <col min="1" max="2" width="3.6640625" customWidth="1"/>
    <col min="3" max="3" width="5.6640625" customWidth="1"/>
    <col min="4" max="5" width="3.6640625" customWidth="1"/>
    <col min="6" max="6" width="45.6640625" customWidth="1"/>
    <col min="7" max="9" width="14.6640625" customWidth="1"/>
    <col min="10" max="10" width="15.6640625" customWidth="1"/>
  </cols>
  <sheetData>
    <row r="1" spans="1:10" ht="21">
      <c r="B1" s="56" t="s">
        <v>501</v>
      </c>
    </row>
    <row r="2" spans="1:10" ht="18">
      <c r="B2" s="164" t="str">
        <f>Model_Name</f>
        <v>Seasonal Influenza Immunization Costing Tool (SIICT)  - Test Country</v>
      </c>
    </row>
    <row r="3" spans="1:10">
      <c r="B3" s="668" t="s">
        <v>1</v>
      </c>
      <c r="C3" s="668"/>
      <c r="D3" s="668"/>
      <c r="E3" s="668"/>
      <c r="F3" s="668"/>
    </row>
    <row r="4" spans="1:10">
      <c r="A4" s="54" t="s">
        <v>3</v>
      </c>
      <c r="B4" s="5" t="s">
        <v>4</v>
      </c>
      <c r="C4" s="6" t="s">
        <v>5</v>
      </c>
      <c r="D4" s="394" t="s">
        <v>25</v>
      </c>
      <c r="E4" s="330" t="s">
        <v>26</v>
      </c>
      <c r="F4" s="395" t="s">
        <v>27</v>
      </c>
    </row>
    <row r="5" spans="1:10" s="134" customFormat="1">
      <c r="B5" s="103" t="str">
        <f>"Influenza Season Starting "&amp;TS_First_Fin_Yr</f>
        <v>Influenza Season Starting 2018</v>
      </c>
      <c r="C5" s="20"/>
      <c r="D5" s="20"/>
      <c r="E5" s="20"/>
      <c r="F5" s="20"/>
      <c r="G5" s="20"/>
      <c r="H5" s="20"/>
      <c r="I5" s="20"/>
      <c r="J5" s="21" t="str">
        <f>TS_First_Fin_Yr&amp;"-"&amp;(TS_First_Fin_Yr+1)</f>
        <v>2018-2019</v>
      </c>
    </row>
    <row r="6" spans="1:10" s="134" customFormat="1" hidden="1" outlineLevel="2">
      <c r="B6" s="68" t="s">
        <v>75</v>
      </c>
      <c r="C6" s="12"/>
      <c r="D6" s="12"/>
      <c r="E6" s="12"/>
      <c r="F6" s="12"/>
      <c r="G6" s="12"/>
      <c r="H6" s="12"/>
      <c r="I6" s="12"/>
      <c r="J6" s="161">
        <f>MAX(EDATE(TS_Start_Date,(J8-1)*TS_Mths_In_Yr-MOD(MONTH(TS_Start_Date)-DD_TS_Fin_Yr_End_Mth-1,TS_Mths_In_Yr)),TS_Start_Date)</f>
        <v>43282</v>
      </c>
    </row>
    <row r="7" spans="1:10" s="134" customFormat="1" hidden="1" outlineLevel="2">
      <c r="B7" s="68" t="s">
        <v>76</v>
      </c>
      <c r="C7" s="12"/>
      <c r="D7" s="12"/>
      <c r="E7" s="12"/>
      <c r="F7" s="12"/>
      <c r="G7" s="12"/>
      <c r="H7" s="12"/>
      <c r="I7" s="12"/>
      <c r="J7" s="161">
        <f>MIN(EOMONTH(TS_Start_Date,J8*TS_Mths_In_Yr-MOD(MONTH(TS_Start_Date)-DD_TS_Fin_Yr_End_Mth-1,TS_Mths_In_Yr)-1),TS_End_Date)</f>
        <v>43465</v>
      </c>
    </row>
    <row r="8" spans="1:10" s="134" customFormat="1" hidden="1" outlineLevel="2">
      <c r="B8" s="68" t="s">
        <v>77</v>
      </c>
      <c r="C8" s="12"/>
      <c r="D8" s="12"/>
      <c r="E8" s="12"/>
      <c r="F8" s="12"/>
      <c r="G8" s="12"/>
      <c r="H8" s="12"/>
      <c r="I8" s="12"/>
      <c r="J8" s="167">
        <f>COLUMNS($J8:J8)</f>
        <v>1</v>
      </c>
    </row>
    <row r="9" spans="1:10" s="134" customFormat="1" hidden="1" outlineLevel="2">
      <c r="B9" s="22" t="s">
        <v>78</v>
      </c>
      <c r="C9" s="20"/>
      <c r="D9" s="20"/>
      <c r="E9" s="20"/>
      <c r="F9" s="20"/>
      <c r="G9" s="20"/>
      <c r="H9" s="20"/>
      <c r="I9" s="20"/>
      <c r="J9" s="168">
        <f>YEAR(J7)+IF(MONTH(J7)&gt;DD_TS_Fin_Yr_End_Mth,1,0)</f>
        <v>2018</v>
      </c>
    </row>
    <row r="10" spans="1:10" s="134" customFormat="1" collapsed="1"/>
    <row r="11" spans="1:10" s="134" customFormat="1"/>
    <row r="12" spans="1:10" s="134" customFormat="1" ht="17.399999999999999">
      <c r="B12" s="15" t="s">
        <v>501</v>
      </c>
    </row>
    <row r="13" spans="1:10" s="134" customFormat="1"/>
    <row r="14" spans="1:10" s="23" customFormat="1" ht="15.6">
      <c r="C14" s="111" t="s">
        <v>445</v>
      </c>
      <c r="D14" s="152" t="s">
        <v>502</v>
      </c>
    </row>
    <row r="15" spans="1:10" s="23" customFormat="1">
      <c r="F15" s="152" t="s">
        <v>444</v>
      </c>
      <c r="G15" s="152" t="s">
        <v>600</v>
      </c>
    </row>
    <row r="16" spans="1:10" s="23" customFormat="1">
      <c r="F16" s="151" t="s">
        <v>503</v>
      </c>
      <c r="G16" s="667" t="s">
        <v>801</v>
      </c>
      <c r="H16" s="667"/>
      <c r="I16" s="667"/>
    </row>
    <row r="17" spans="3:10" s="23" customFormat="1">
      <c r="F17" s="151" t="s">
        <v>710</v>
      </c>
      <c r="G17" s="667" t="s">
        <v>802</v>
      </c>
      <c r="H17" s="667"/>
      <c r="I17" s="667"/>
    </row>
    <row r="18" spans="3:10" s="23" customFormat="1">
      <c r="F18" s="151" t="s">
        <v>803</v>
      </c>
      <c r="G18" s="667" t="s">
        <v>803</v>
      </c>
      <c r="H18" s="667"/>
      <c r="I18" s="667"/>
    </row>
    <row r="19" spans="3:10" s="23" customFormat="1"/>
    <row r="20" spans="3:10" s="23" customFormat="1" ht="15.6">
      <c r="C20" s="111" t="s">
        <v>483</v>
      </c>
      <c r="D20" s="152" t="s">
        <v>832</v>
      </c>
    </row>
    <row r="21" spans="3:10" s="23" customFormat="1">
      <c r="C21" s="20"/>
      <c r="D21" s="20"/>
      <c r="E21" s="20"/>
      <c r="F21" s="20"/>
      <c r="G21" s="20"/>
      <c r="H21" s="20"/>
      <c r="I21" s="20"/>
    </row>
    <row r="22" spans="3:10" s="23" customFormat="1"/>
    <row r="23" spans="3:10" s="134" customFormat="1" ht="15.6">
      <c r="C23" s="171" t="str">
        <f>FLU_LU!$D$334</f>
        <v>Public Health Directorate Training</v>
      </c>
    </row>
    <row r="24" spans="3:10" s="134" customFormat="1"/>
    <row r="25" spans="3:10" s="134" customFormat="1"/>
    <row r="26" spans="3:10" s="134" customFormat="1" ht="57.6">
      <c r="C26" s="94" t="s">
        <v>194</v>
      </c>
      <c r="D26" s="111" t="s">
        <v>439</v>
      </c>
      <c r="G26" s="152" t="s">
        <v>117</v>
      </c>
      <c r="H26" s="72" t="s">
        <v>476</v>
      </c>
      <c r="J26" s="72" t="s">
        <v>477</v>
      </c>
    </row>
    <row r="27" spans="3:10" s="23" customFormat="1">
      <c r="G27" s="31">
        <v>2</v>
      </c>
    </row>
    <row r="28" spans="3:10" s="134" customFormat="1">
      <c r="F28" s="152" t="s">
        <v>189</v>
      </c>
      <c r="H28" s="95">
        <f ca="1">IF(G27=2,TRAINING_BA!L66,TRAINING_BA!N66)</f>
        <v>22372.799999999999</v>
      </c>
      <c r="I28" s="159" t="str">
        <f ca="1">OFFSET(FLU_LU!$D$77,G27,0)</f>
        <v>GOZ</v>
      </c>
      <c r="J28" s="115">
        <v>10000</v>
      </c>
    </row>
    <row r="29" spans="3:10" s="134" customFormat="1">
      <c r="F29" s="152" t="s">
        <v>190</v>
      </c>
      <c r="H29" s="95">
        <f ca="1">IF(G27=2,TRAINING_BA!M66,TRAINING_BA!O66)</f>
        <v>22392.799999999999</v>
      </c>
      <c r="I29" s="159" t="str">
        <f ca="1">OFFSET(FLU_LU!$D$77,G27,0)</f>
        <v>GOZ</v>
      </c>
      <c r="J29" s="115">
        <v>15000</v>
      </c>
    </row>
    <row r="30" spans="3:10" s="134" customFormat="1"/>
    <row r="31" spans="3:10" s="134" customFormat="1">
      <c r="D31" s="716" t="str">
        <f>"Go to "&amp;HL_FLU_Itemized_Train_A</f>
        <v>Go to Detailed Cost Estimate: Public Health Directorate Training</v>
      </c>
      <c r="E31" s="716"/>
      <c r="F31" s="716"/>
    </row>
    <row r="32" spans="3:10" s="134" customFormat="1"/>
    <row r="33" spans="2:10" s="134" customFormat="1" ht="15.6">
      <c r="D33" s="111" t="s">
        <v>479</v>
      </c>
    </row>
    <row r="34" spans="2:10" s="134" customFormat="1">
      <c r="F34" s="667"/>
      <c r="G34" s="667"/>
      <c r="H34" s="667"/>
      <c r="I34" s="667"/>
    </row>
    <row r="35" spans="2:10" s="134" customFormat="1">
      <c r="F35" s="667"/>
      <c r="G35" s="667"/>
      <c r="H35" s="667"/>
      <c r="I35" s="667"/>
    </row>
    <row r="36" spans="2:10" s="134" customFormat="1">
      <c r="F36" s="667"/>
      <c r="G36" s="667"/>
      <c r="H36" s="667"/>
      <c r="I36" s="667"/>
      <c r="J36" s="23"/>
    </row>
    <row r="37" spans="2:10" s="134" customFormat="1"/>
    <row r="38" spans="2:10" s="23" customFormat="1" ht="15.6">
      <c r="D38" s="111" t="s">
        <v>462</v>
      </c>
      <c r="J38" s="115">
        <v>1</v>
      </c>
    </row>
    <row r="39" spans="2:10" s="23" customFormat="1"/>
    <row r="40" spans="2:10" s="23" customFormat="1" ht="15.6">
      <c r="B40" s="82" t="str">
        <f>"OUTPUT - TOTAL ACTIVITIES COST FOR "&amp;HL_FLU_Training_General_A</f>
        <v>OUTPUT - TOTAL ACTIVITIES COST FOR Public Health Directorate Training</v>
      </c>
    </row>
    <row r="41" spans="2:10" s="23" customFormat="1"/>
    <row r="42" spans="2:10" s="23" customFormat="1">
      <c r="F42" s="155" t="str">
        <f>"Total Cost ("&amp;FLU_LU!$D$78&amp;")"</f>
        <v>Total Cost (USD)</v>
      </c>
      <c r="J42" s="12"/>
    </row>
    <row r="43" spans="2:10" s="23" customFormat="1">
      <c r="I43" s="68" t="s">
        <v>166</v>
      </c>
      <c r="J43" s="186">
        <f>IF(G27=1,J28*J38,(J28*J38)/FLU_XCHANGE_YR1)</f>
        <v>66.666666666666671</v>
      </c>
    </row>
    <row r="44" spans="2:10" s="23" customFormat="1">
      <c r="I44" s="68" t="s">
        <v>167</v>
      </c>
      <c r="J44" s="186">
        <f>IF(G27=1,J29*J38,(J29*J38)/FLU_XCHANGE_YR1)</f>
        <v>100</v>
      </c>
    </row>
    <row r="45" spans="2:10" s="23" customFormat="1"/>
    <row r="46" spans="2:10" s="23" customFormat="1">
      <c r="F46" s="155" t="str">
        <f>"Total Cost ("&amp;FLU_LU!$D$79&amp;")"</f>
        <v>Total Cost (GOZ)</v>
      </c>
      <c r="I46" s="68" t="s">
        <v>166</v>
      </c>
      <c r="J46" s="208">
        <f>IF(G27=2,J28*J38,(J28*J38)*FLU_XCHANGE_YR1)</f>
        <v>10000</v>
      </c>
    </row>
    <row r="47" spans="2:10" s="23" customFormat="1">
      <c r="I47" s="68" t="s">
        <v>167</v>
      </c>
      <c r="J47" s="208">
        <f>IF(G27=2,J29*J38,(J29*J38)*FLU_XCHANGE_YR1)</f>
        <v>15000</v>
      </c>
    </row>
    <row r="48" spans="2:10" s="23" customFormat="1" ht="15" thickBot="1">
      <c r="C48" s="55"/>
      <c r="D48" s="55"/>
      <c r="E48" s="55"/>
      <c r="F48" s="55"/>
      <c r="G48" s="55"/>
      <c r="H48" s="55"/>
      <c r="I48" s="55"/>
      <c r="J48" s="55"/>
    </row>
    <row r="49" spans="3:10" s="23" customFormat="1"/>
    <row r="50" spans="3:10" s="134" customFormat="1" ht="15.6">
      <c r="C50" s="171" t="str">
        <f>FLU_LU!$D$335</f>
        <v>District Epidemiologists Meet w/ Health Facility Teams to Prepare</v>
      </c>
    </row>
    <row r="51" spans="3:10" s="23" customFormat="1"/>
    <row r="52" spans="3:10" s="23" customFormat="1"/>
    <row r="53" spans="3:10" s="23" customFormat="1" ht="57.6">
      <c r="C53" s="94" t="s">
        <v>194</v>
      </c>
      <c r="D53" s="111" t="s">
        <v>439</v>
      </c>
      <c r="G53" s="152" t="s">
        <v>117</v>
      </c>
      <c r="H53" s="72" t="s">
        <v>476</v>
      </c>
      <c r="J53" s="72" t="s">
        <v>477</v>
      </c>
    </row>
    <row r="54" spans="3:10" s="23" customFormat="1">
      <c r="G54" s="31">
        <v>2</v>
      </c>
    </row>
    <row r="55" spans="3:10" s="23" customFormat="1">
      <c r="F55" s="152" t="s">
        <v>189</v>
      </c>
      <c r="H55" s="95">
        <f ca="1">IF(G54=2,TRAINING_BA!L118,TRAINING_BA!N118)</f>
        <v>850</v>
      </c>
      <c r="I55" s="159" t="str">
        <f ca="1">OFFSET(FLU_LU!$D$77,G54,0)</f>
        <v>GOZ</v>
      </c>
      <c r="J55" s="115">
        <v>22011</v>
      </c>
    </row>
    <row r="56" spans="3:10" s="23" customFormat="1">
      <c r="F56" s="152" t="s">
        <v>190</v>
      </c>
      <c r="H56" s="95">
        <f ca="1">IF(G54=2,TRAINING_BA!M118,TRAINING_BA!O118)</f>
        <v>850</v>
      </c>
      <c r="I56" s="159" t="str">
        <f ca="1">OFFSET(FLU_LU!$D$77,G54,0)</f>
        <v>GOZ</v>
      </c>
      <c r="J56" s="115">
        <v>40612</v>
      </c>
    </row>
    <row r="57" spans="3:10" s="23" customFormat="1"/>
    <row r="58" spans="3:10" s="23" customFormat="1">
      <c r="D58" s="150" t="str">
        <f>"Go to "&amp;HL_FLU_Itemized_Train_B_Assumptions</f>
        <v>Go to Detailed Cost Estimate: District Epidemiologists Meet w/ Health Facility Teams to Prepare</v>
      </c>
    </row>
    <row r="59" spans="3:10" s="23" customFormat="1"/>
    <row r="60" spans="3:10" s="23" customFormat="1" ht="15.6">
      <c r="D60" s="111" t="s">
        <v>479</v>
      </c>
    </row>
    <row r="61" spans="3:10" s="23" customFormat="1">
      <c r="F61" s="667"/>
      <c r="G61" s="667"/>
      <c r="H61" s="667"/>
      <c r="I61" s="667"/>
    </row>
    <row r="62" spans="3:10" s="23" customFormat="1">
      <c r="F62" s="667"/>
      <c r="G62" s="667"/>
      <c r="H62" s="667"/>
      <c r="I62" s="667"/>
    </row>
    <row r="63" spans="3:10" s="23" customFormat="1">
      <c r="F63" s="667"/>
      <c r="G63" s="667"/>
      <c r="H63" s="667"/>
      <c r="I63" s="667"/>
      <c r="J63" s="12"/>
    </row>
    <row r="64" spans="3:10" s="23" customFormat="1"/>
    <row r="65" spans="2:10" s="23" customFormat="1" ht="15.6">
      <c r="D65" s="111" t="s">
        <v>462</v>
      </c>
      <c r="J65" s="115">
        <v>1</v>
      </c>
    </row>
    <row r="66" spans="2:10" s="23" customFormat="1"/>
    <row r="67" spans="2:10" s="23" customFormat="1" ht="15.6">
      <c r="B67" s="82" t="str">
        <f>"OUTPUT - TOTAL ACTIVITIES COST FOR "&amp;HL_FLU_Training_General_A</f>
        <v>OUTPUT - TOTAL ACTIVITIES COST FOR Public Health Directorate Training</v>
      </c>
    </row>
    <row r="68" spans="2:10" s="23" customFormat="1"/>
    <row r="69" spans="2:10" s="23" customFormat="1">
      <c r="F69" s="155" t="str">
        <f>"Total Cost ("&amp;FLU_LU!$D$78&amp;")"</f>
        <v>Total Cost (USD)</v>
      </c>
      <c r="J69" s="12"/>
    </row>
    <row r="70" spans="2:10" s="23" customFormat="1">
      <c r="I70" s="68" t="s">
        <v>166</v>
      </c>
      <c r="J70" s="186">
        <f>IF(G54=1,J55*J65,(J55*J65)/FLU_XCHANGE_YR1)</f>
        <v>146.74</v>
      </c>
    </row>
    <row r="71" spans="2:10" s="23" customFormat="1">
      <c r="I71" s="68" t="s">
        <v>167</v>
      </c>
      <c r="J71" s="186">
        <f>IF(G54=1,J56*J65,(J56*J65)/FLU_XCHANGE_YR1)</f>
        <v>270.74666666666667</v>
      </c>
    </row>
    <row r="72" spans="2:10" s="23" customFormat="1"/>
    <row r="73" spans="2:10" s="23" customFormat="1">
      <c r="F73" s="155" t="str">
        <f>"Total Cost ("&amp;FLU_LU!$D$79&amp;")"</f>
        <v>Total Cost (GOZ)</v>
      </c>
      <c r="I73" s="68" t="s">
        <v>166</v>
      </c>
      <c r="J73" s="208">
        <f>IF(G54=2,J55*J65,(J55*J65)*FLU_XCHANGE_YR1)</f>
        <v>22011</v>
      </c>
    </row>
    <row r="74" spans="2:10" s="23" customFormat="1">
      <c r="I74" s="68" t="s">
        <v>167</v>
      </c>
      <c r="J74" s="208">
        <f>IF(G54=2,J56*J65,(J56*J65)*FLU_XCHANGE_YR1)</f>
        <v>40612</v>
      </c>
    </row>
    <row r="75" spans="2:10" s="23" customFormat="1" ht="15" thickBot="1">
      <c r="C75" s="55"/>
      <c r="D75" s="55"/>
      <c r="E75" s="55"/>
      <c r="F75" s="55"/>
      <c r="G75" s="55"/>
      <c r="H75" s="55"/>
      <c r="I75" s="55"/>
      <c r="J75" s="55"/>
    </row>
    <row r="76" spans="2:10" s="23" customFormat="1"/>
    <row r="77" spans="2:10" s="23" customFormat="1" ht="15.6">
      <c r="B77" s="12"/>
      <c r="C77" s="171" t="str">
        <f>FLU_LU!$D$336</f>
        <v>[Available for Additional Training Activity]</v>
      </c>
    </row>
    <row r="78" spans="2:10" s="134" customFormat="1"/>
    <row r="79" spans="2:10" s="134" customFormat="1"/>
    <row r="80" spans="2:10" s="134" customFormat="1" ht="57.6">
      <c r="C80" s="94" t="s">
        <v>194</v>
      </c>
      <c r="D80" s="111" t="s">
        <v>439</v>
      </c>
      <c r="G80" s="152" t="s">
        <v>117</v>
      </c>
      <c r="H80" s="72" t="s">
        <v>476</v>
      </c>
      <c r="J80" s="72" t="s">
        <v>477</v>
      </c>
    </row>
    <row r="81" spans="2:10" s="134" customFormat="1">
      <c r="G81" s="31">
        <v>2</v>
      </c>
    </row>
    <row r="82" spans="2:10" s="134" customFormat="1">
      <c r="F82" s="152" t="s">
        <v>189</v>
      </c>
      <c r="H82" s="95">
        <f ca="1">IF(G81=2,TRAINING_BA!L169,TRAINING_BA!N169)</f>
        <v>0</v>
      </c>
      <c r="I82" s="159" t="str">
        <f ca="1">OFFSET(FLU_LU!$D$77,G81,0)</f>
        <v>GOZ</v>
      </c>
      <c r="J82" s="115">
        <v>0</v>
      </c>
    </row>
    <row r="83" spans="2:10" s="134" customFormat="1">
      <c r="F83" s="152" t="s">
        <v>190</v>
      </c>
      <c r="H83" s="95">
        <f ca="1">IF(G81=2,TRAINING_BA!M169,TRAINING_BA!O169)</f>
        <v>0</v>
      </c>
      <c r="I83" s="159" t="str">
        <f ca="1">OFFSET(FLU_LU!$D$77,G81,0)</f>
        <v>GOZ</v>
      </c>
      <c r="J83" s="115">
        <v>0</v>
      </c>
    </row>
    <row r="84" spans="2:10" s="134" customFormat="1"/>
    <row r="85" spans="2:10" s="134" customFormat="1">
      <c r="D85" s="150" t="str">
        <f>"Go to "&amp;HL_FLU_Itemized_Train_C_Assumptions</f>
        <v>Go to Detailed Cost Estimate: [Available for Additional Training Activity]</v>
      </c>
    </row>
    <row r="86" spans="2:10" s="134" customFormat="1"/>
    <row r="87" spans="2:10" s="134" customFormat="1" ht="15.6">
      <c r="D87" s="111" t="s">
        <v>479</v>
      </c>
    </row>
    <row r="88" spans="2:10" s="134" customFormat="1">
      <c r="F88" s="667"/>
      <c r="G88" s="667"/>
      <c r="H88" s="667"/>
      <c r="I88" s="667"/>
    </row>
    <row r="89" spans="2:10" s="134" customFormat="1">
      <c r="F89" s="667"/>
      <c r="G89" s="667"/>
      <c r="H89" s="667"/>
      <c r="I89" s="667"/>
    </row>
    <row r="90" spans="2:10" s="134" customFormat="1">
      <c r="F90" s="667"/>
      <c r="G90" s="667"/>
      <c r="H90" s="667"/>
      <c r="I90" s="667"/>
      <c r="J90" s="12"/>
    </row>
    <row r="91" spans="2:10" s="134" customFormat="1"/>
    <row r="92" spans="2:10" s="134" customFormat="1" ht="15.6">
      <c r="D92" s="111" t="s">
        <v>462</v>
      </c>
      <c r="J92" s="115">
        <v>1</v>
      </c>
    </row>
    <row r="93" spans="2:10" s="134" customFormat="1"/>
    <row r="94" spans="2:10" s="134" customFormat="1" ht="15.6">
      <c r="B94" s="82" t="str">
        <f>"OUTPUT - TOTAL ACTIVITIES COST FOR "&amp;HL_FLU_Training_General_A</f>
        <v>OUTPUT - TOTAL ACTIVITIES COST FOR Public Health Directorate Training</v>
      </c>
    </row>
    <row r="95" spans="2:10" s="134" customFormat="1"/>
    <row r="96" spans="2:10" s="134" customFormat="1">
      <c r="F96" s="155" t="str">
        <f>"Total Cost ("&amp;FLU_LU!$D$78&amp;")"</f>
        <v>Total Cost (USD)</v>
      </c>
      <c r="J96" s="12"/>
    </row>
    <row r="97" spans="3:10" s="134" customFormat="1">
      <c r="I97" s="68" t="s">
        <v>166</v>
      </c>
      <c r="J97" s="186">
        <f>IF(G81=1,J82*J92,(J82*J92)/FLU_XCHANGE_YR1)</f>
        <v>0</v>
      </c>
    </row>
    <row r="98" spans="3:10" s="134" customFormat="1">
      <c r="I98" s="68" t="s">
        <v>167</v>
      </c>
      <c r="J98" s="186">
        <f>IF(G81=1,J83*J92,(J83*J92)/FLU_XCHANGE_YR1)</f>
        <v>0</v>
      </c>
    </row>
    <row r="99" spans="3:10" s="134" customFormat="1"/>
    <row r="100" spans="3:10" s="134" customFormat="1">
      <c r="F100" s="155" t="str">
        <f>"Total Cost ("&amp;FLU_LU!$D$79&amp;")"</f>
        <v>Total Cost (GOZ)</v>
      </c>
      <c r="I100" s="68" t="s">
        <v>166</v>
      </c>
      <c r="J100" s="208">
        <f>IF(G81=2,J82*J92,(J82*J92)*FLU_XCHANGE_YR1)</f>
        <v>0</v>
      </c>
    </row>
    <row r="101" spans="3:10" s="134" customFormat="1">
      <c r="I101" s="68" t="s">
        <v>167</v>
      </c>
      <c r="J101" s="208">
        <f>IF(G81=2,J83*J92,(J83*J92)*FLU_XCHANGE_YR1)</f>
        <v>0</v>
      </c>
    </row>
    <row r="102" spans="3:10" s="134" customFormat="1" ht="15" thickBot="1">
      <c r="C102" s="55"/>
      <c r="D102" s="55"/>
      <c r="E102" s="55"/>
      <c r="F102" s="55"/>
      <c r="G102" s="55"/>
      <c r="H102" s="55"/>
      <c r="I102" s="55"/>
      <c r="J102" s="55"/>
    </row>
  </sheetData>
  <mergeCells count="14">
    <mergeCell ref="B3:F3"/>
    <mergeCell ref="D31:F31"/>
    <mergeCell ref="F89:I89"/>
    <mergeCell ref="F90:I90"/>
    <mergeCell ref="F35:I35"/>
    <mergeCell ref="F36:I36"/>
    <mergeCell ref="F61:I61"/>
    <mergeCell ref="F62:I62"/>
    <mergeCell ref="F34:I34"/>
    <mergeCell ref="F63:I63"/>
    <mergeCell ref="F88:I88"/>
    <mergeCell ref="G16:I16"/>
    <mergeCell ref="G17:I17"/>
    <mergeCell ref="G18:I18"/>
  </mergeCells>
  <dataValidations count="2">
    <dataValidation type="custom" showErrorMessage="1" errorTitle="Invalid Assumption" error="Assumption must be a number." sqref="J28:J29 J38 J65 J55:J56 J92 J82:J83" xr:uid="{00000000-0002-0000-1100-000000000000}">
      <formula1>NOT(ISERROR(J28/1))</formula1>
    </dataValidation>
    <dataValidation type="whole" showDropDown="1" showErrorMessage="1" errorTitle="Drop Down Box Cell Link" error="The value in a drop down box cell link must be a whole number within the control's lookup range rows." sqref="G27 G54 G81" xr:uid="{00000000-0002-0000-1100-000001000000}">
      <formula1>1</formula1>
      <formula2>ROWS(LU_FLU_Curr_Code)</formula2>
    </dataValidation>
  </dataValidations>
  <hyperlinks>
    <hyperlink ref="D31:F31" location="HL_FLU_Itemized_Train_A" tooltip="Click to follow hyperlink." display="HL_FLU_Itemized_Train_A" xr:uid="{00000000-0004-0000-1100-000000000000}"/>
    <hyperlink ref="D58" location="HL_FLU_Itemized_Train_B_Assumptions" tooltip="Click to follow hyperlink." display="HL_FLU_Itemized_Train_B_Assumptions" xr:uid="{00000000-0004-0000-1100-000001000000}"/>
    <hyperlink ref="D85" location="HL_FLU_Itemized_Train_C_Assumptions" tooltip="Click to follow hyperlink." display="HL_FLU_Itemized_Train_C_Assumptions" xr:uid="{00000000-0004-0000-1100-000002000000}"/>
    <hyperlink ref="C4" location="HL_Sheet_Main_20" tooltip="Go to Next Sheet" display="HL_Sheet_Main_20" xr:uid="{00000000-0004-0000-1100-000003000000}"/>
    <hyperlink ref="B4" location="HL_Sheet_Main_17" tooltip="Go to Previous Sheet" display="HL_Sheet_Main_17" xr:uid="{00000000-0004-0000-1100-000004000000}"/>
    <hyperlink ref="A4" location="$B$10" tooltip="Go to Top of Sheet" display="$B$10" xr:uid="{00000000-0004-0000-1100-000005000000}"/>
    <hyperlink ref="B3" location="HL_Home" tooltip="Go to Table of Contents" display="HL_Home" xr:uid="{00000000-0004-0000-1100-000006000000}"/>
    <hyperlink ref="D4" location="HL_Err_Chk" tooltip="Go to Error Checks" display="HL_Err_Chk" xr:uid="{00000000-0004-0000-1100-000007000000}"/>
    <hyperlink ref="E4" location="HL_Sens_Chk" tooltip="Go to Sensitivity Checks" display="HL_Sens_Chk" xr:uid="{00000000-0004-0000-1100-000008000000}"/>
    <hyperlink ref="F4" location="HL_Alt_Chk" tooltip="Go to Alert Checks" display="HL_Alt_Chk" xr:uid="{00000000-0004-0000-1100-000009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12742" r:id="rId4" name="bpmDropDownFLU101">
              <controlPr defaultSize="0" autoFill="0" autoPict="0">
                <anchor mov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012744" r:id="rId5" name="bpmDropDownFLU102">
              <controlPr defaultSize="0" autoFill="0" autoPict="0">
                <anchor mov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012740" r:id="rId6" name="bpmDropDownFLU100">
              <controlPr defaultSize="0" autoFill="0" autoPict="0">
                <anchor moveWithCells="1">
                  <from>
                    <xdr:col>6</xdr:col>
                    <xdr:colOff>0</xdr:colOff>
                    <xdr:row>26</xdr:row>
                    <xdr:rowOff>0</xdr:rowOff>
                  </from>
                  <to>
                    <xdr:col>7</xdr:col>
                    <xdr:colOff>0</xdr:colOff>
                    <xdr:row>27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2"/>
    <pageSetUpPr autoPageBreaks="0"/>
  </sheetPr>
  <dimension ref="A1:J102"/>
  <sheetViews>
    <sheetView showGridLines="0" zoomScaleNormal="100" workbookViewId="0">
      <pane xSplit="1" ySplit="9" topLeftCell="B10" activePane="bottomRight" state="frozen"/>
      <selection pane="topRight" activeCell="B1" sqref="B1"/>
      <selection pane="bottomLeft" activeCell="A12" sqref="A12"/>
      <selection pane="bottomRight"/>
    </sheetView>
  </sheetViews>
  <sheetFormatPr defaultColWidth="11.6640625" defaultRowHeight="14.4" outlineLevelRow="2"/>
  <cols>
    <col min="1" max="2" width="3.6640625" customWidth="1"/>
    <col min="3" max="3" width="5.6640625" customWidth="1"/>
    <col min="4" max="5" width="3.6640625" customWidth="1"/>
    <col min="6" max="6" width="45.6640625" customWidth="1"/>
    <col min="7" max="9" width="14.6640625" customWidth="1"/>
    <col min="10" max="10" width="15.6640625" customWidth="1"/>
  </cols>
  <sheetData>
    <row r="1" spans="1:10" ht="21">
      <c r="B1" s="56" t="s">
        <v>518</v>
      </c>
    </row>
    <row r="2" spans="1:10" ht="18">
      <c r="B2" s="164" t="str">
        <f>Model_Name</f>
        <v>Seasonal Influenza Immunization Costing Tool (SIICT)  - Test Country</v>
      </c>
    </row>
    <row r="3" spans="1:10">
      <c r="B3" s="668" t="s">
        <v>1</v>
      </c>
      <c r="C3" s="668"/>
      <c r="D3" s="668"/>
      <c r="E3" s="668"/>
      <c r="F3" s="668"/>
    </row>
    <row r="4" spans="1:10">
      <c r="A4" s="54" t="s">
        <v>3</v>
      </c>
      <c r="B4" s="5" t="s">
        <v>4</v>
      </c>
      <c r="C4" s="6" t="s">
        <v>5</v>
      </c>
      <c r="D4" s="394" t="s">
        <v>25</v>
      </c>
      <c r="E4" s="330" t="s">
        <v>26</v>
      </c>
      <c r="F4" s="395" t="s">
        <v>27</v>
      </c>
    </row>
    <row r="5" spans="1:10" s="134" customFormat="1">
      <c r="B5" s="103" t="str">
        <f>"Influenza Season Starting "&amp;TS_First_Fin_Yr</f>
        <v>Influenza Season Starting 2018</v>
      </c>
      <c r="C5" s="20"/>
      <c r="D5" s="20"/>
      <c r="E5" s="20"/>
      <c r="F5" s="20"/>
      <c r="G5" s="20"/>
      <c r="H5" s="20"/>
      <c r="I5" s="20"/>
      <c r="J5" s="21" t="str">
        <f>TS_First_Fin_Yr&amp;"-"&amp;(TS_First_Fin_Yr+1)</f>
        <v>2018-2019</v>
      </c>
    </row>
    <row r="6" spans="1:10" s="134" customFormat="1" hidden="1" outlineLevel="2">
      <c r="B6" s="68" t="s">
        <v>75</v>
      </c>
      <c r="C6" s="12"/>
      <c r="D6" s="12"/>
      <c r="E6" s="12"/>
      <c r="F6" s="12"/>
      <c r="G6" s="12"/>
      <c r="H6" s="12"/>
      <c r="I6" s="12"/>
      <c r="J6" s="161">
        <f>MAX(EDATE(TS_Start_Date,(J8-1)*TS_Mths_In_Yr-MOD(MONTH(TS_Start_Date)-DD_TS_Fin_Yr_End_Mth-1,TS_Mths_In_Yr)),TS_Start_Date)</f>
        <v>43282</v>
      </c>
    </row>
    <row r="7" spans="1:10" s="134" customFormat="1" hidden="1" outlineLevel="2">
      <c r="B7" s="68" t="s">
        <v>76</v>
      </c>
      <c r="C7" s="12"/>
      <c r="D7" s="12"/>
      <c r="E7" s="12"/>
      <c r="F7" s="12"/>
      <c r="G7" s="12"/>
      <c r="H7" s="12"/>
      <c r="I7" s="12"/>
      <c r="J7" s="161">
        <f>MIN(EOMONTH(TS_Start_Date,J8*TS_Mths_In_Yr-MOD(MONTH(TS_Start_Date)-DD_TS_Fin_Yr_End_Mth-1,TS_Mths_In_Yr)-1),TS_End_Date)</f>
        <v>43465</v>
      </c>
    </row>
    <row r="8" spans="1:10" s="134" customFormat="1" hidden="1" outlineLevel="2">
      <c r="B8" s="68" t="s">
        <v>77</v>
      </c>
      <c r="C8" s="12"/>
      <c r="D8" s="12"/>
      <c r="E8" s="12"/>
      <c r="F8" s="12"/>
      <c r="G8" s="12"/>
      <c r="H8" s="12"/>
      <c r="I8" s="12"/>
      <c r="J8" s="167">
        <f>COLUMNS($J8:J8)</f>
        <v>1</v>
      </c>
    </row>
    <row r="9" spans="1:10" s="134" customFormat="1" hidden="1" outlineLevel="2">
      <c r="B9" s="22" t="s">
        <v>78</v>
      </c>
      <c r="C9" s="20"/>
      <c r="D9" s="20"/>
      <c r="E9" s="20"/>
      <c r="F9" s="20"/>
      <c r="G9" s="20"/>
      <c r="H9" s="20"/>
      <c r="I9" s="20"/>
      <c r="J9" s="168">
        <f>YEAR(J7)+IF(MONTH(J7)&gt;DD_TS_Fin_Yr_End_Mth,1,0)</f>
        <v>2018</v>
      </c>
    </row>
    <row r="10" spans="1:10" s="134" customFormat="1" collapsed="1"/>
    <row r="11" spans="1:10" s="134" customFormat="1"/>
    <row r="12" spans="1:10" s="134" customFormat="1" ht="17.399999999999999">
      <c r="B12" s="15" t="s">
        <v>517</v>
      </c>
    </row>
    <row r="13" spans="1:10" s="23" customFormat="1"/>
    <row r="14" spans="1:10" s="23" customFormat="1" ht="15.6">
      <c r="C14" s="111" t="s">
        <v>445</v>
      </c>
      <c r="D14" s="152" t="s">
        <v>519</v>
      </c>
    </row>
    <row r="15" spans="1:10" s="23" customFormat="1">
      <c r="F15" s="152" t="s">
        <v>444</v>
      </c>
      <c r="G15" s="725" t="s">
        <v>600</v>
      </c>
      <c r="H15" s="737"/>
      <c r="I15" s="737"/>
    </row>
    <row r="16" spans="1:10" s="23" customFormat="1">
      <c r="F16" s="151" t="s">
        <v>804</v>
      </c>
      <c r="G16" s="667" t="s">
        <v>805</v>
      </c>
      <c r="H16" s="667"/>
      <c r="I16" s="667"/>
    </row>
    <row r="17" spans="3:10" s="23" customFormat="1">
      <c r="F17" s="151" t="s">
        <v>689</v>
      </c>
      <c r="G17" s="667" t="s">
        <v>806</v>
      </c>
      <c r="H17" s="667"/>
      <c r="I17" s="667"/>
    </row>
    <row r="18" spans="3:10" s="23" customFormat="1">
      <c r="F18" s="151" t="s">
        <v>690</v>
      </c>
      <c r="G18" s="667" t="s">
        <v>807</v>
      </c>
      <c r="H18" s="667"/>
      <c r="I18" s="667"/>
    </row>
    <row r="19" spans="3:10" s="134" customFormat="1"/>
    <row r="20" spans="3:10" s="134" customFormat="1" ht="15.6">
      <c r="C20" s="111" t="s">
        <v>483</v>
      </c>
      <c r="D20" s="152" t="s">
        <v>832</v>
      </c>
    </row>
    <row r="21" spans="3:10" s="134" customFormat="1">
      <c r="C21" s="20"/>
      <c r="D21" s="20"/>
      <c r="E21" s="20"/>
      <c r="F21" s="20"/>
      <c r="G21" s="20"/>
      <c r="H21" s="20"/>
      <c r="I21" s="20"/>
    </row>
    <row r="22" spans="3:10" s="134" customFormat="1"/>
    <row r="23" spans="3:10" s="134" customFormat="1" ht="15.6">
      <c r="C23" s="171" t="str">
        <f>FLU_LU!$D$341</f>
        <v>Media relations established</v>
      </c>
    </row>
    <row r="24" spans="3:10" s="134" customFormat="1"/>
    <row r="25" spans="3:10" s="134" customFormat="1"/>
    <row r="26" spans="3:10" s="134" customFormat="1" ht="57.6">
      <c r="C26" s="94" t="s">
        <v>194</v>
      </c>
      <c r="D26" s="111" t="s">
        <v>439</v>
      </c>
      <c r="G26" s="152" t="s">
        <v>117</v>
      </c>
      <c r="H26" s="72" t="s">
        <v>476</v>
      </c>
      <c r="J26" s="72" t="s">
        <v>477</v>
      </c>
    </row>
    <row r="27" spans="3:10" s="134" customFormat="1">
      <c r="G27" s="31">
        <v>2</v>
      </c>
    </row>
    <row r="28" spans="3:10" s="134" customFormat="1">
      <c r="F28" s="152" t="s">
        <v>189</v>
      </c>
      <c r="H28" s="95">
        <f ca="1">IF(G27=2,TRAINING_BA!L66,TRAINING_BA!N66)</f>
        <v>22372.799999999999</v>
      </c>
      <c r="I28" s="159" t="str">
        <f ca="1">OFFSET(FLU_LU!$D$77,G27,0)</f>
        <v>GOZ</v>
      </c>
      <c r="J28" s="115">
        <v>10000</v>
      </c>
    </row>
    <row r="29" spans="3:10" s="134" customFormat="1">
      <c r="F29" s="152" t="s">
        <v>190</v>
      </c>
      <c r="H29" s="95">
        <f ca="1">IF(G27=2,TRAINING_BA!M66,TRAINING_BA!O66)</f>
        <v>22392.799999999999</v>
      </c>
      <c r="I29" s="159" t="str">
        <f ca="1">OFFSET(FLU_LU!$D$77,G27,0)</f>
        <v>GOZ</v>
      </c>
      <c r="J29" s="115">
        <v>15000</v>
      </c>
    </row>
    <row r="30" spans="3:10" s="134" customFormat="1"/>
    <row r="31" spans="3:10" s="134" customFormat="1">
      <c r="D31" s="150" t="str">
        <f>"Go to Detailed Cost Estimate "&amp;HL_FLU_Social_Mob_A</f>
        <v>Go to Detailed Cost Estimate Detailed Cost Estimate: Media relations established</v>
      </c>
      <c r="E31" s="61"/>
      <c r="F31" s="61"/>
    </row>
    <row r="32" spans="3:10" s="134" customFormat="1"/>
    <row r="33" spans="2:10" s="134" customFormat="1" ht="15.6">
      <c r="D33" s="111" t="s">
        <v>479</v>
      </c>
    </row>
    <row r="34" spans="2:10" s="134" customFormat="1">
      <c r="F34" s="667"/>
      <c r="G34" s="667"/>
      <c r="H34" s="667"/>
      <c r="I34" s="667"/>
    </row>
    <row r="35" spans="2:10" s="134" customFormat="1">
      <c r="F35" s="667"/>
      <c r="G35" s="667"/>
      <c r="H35" s="667"/>
      <c r="I35" s="667"/>
    </row>
    <row r="36" spans="2:10" s="134" customFormat="1">
      <c r="F36" s="667"/>
      <c r="G36" s="667"/>
      <c r="H36" s="667"/>
      <c r="I36" s="667"/>
      <c r="J36" s="12"/>
    </row>
    <row r="37" spans="2:10" s="134" customFormat="1"/>
    <row r="38" spans="2:10" s="134" customFormat="1" ht="15.6">
      <c r="D38" s="111" t="s">
        <v>462</v>
      </c>
      <c r="J38" s="115">
        <v>1</v>
      </c>
    </row>
    <row r="39" spans="2:10" s="134" customFormat="1"/>
    <row r="40" spans="2:10" s="134" customFormat="1" ht="15.6">
      <c r="B40" s="82" t="str">
        <f>"OUTPUT - TOTAL ACTIVITIES COST FOR "&amp;HL_FLU_Training_General_A</f>
        <v>OUTPUT - TOTAL ACTIVITIES COST FOR Public Health Directorate Training</v>
      </c>
    </row>
    <row r="41" spans="2:10" s="134" customFormat="1"/>
    <row r="42" spans="2:10" s="134" customFormat="1">
      <c r="F42" s="155" t="str">
        <f>"Total Cost ("&amp;FLU_LU!$D$78&amp;")"</f>
        <v>Total Cost (USD)</v>
      </c>
      <c r="J42" s="12"/>
    </row>
    <row r="43" spans="2:10" s="134" customFormat="1">
      <c r="I43" s="68" t="s">
        <v>166</v>
      </c>
      <c r="J43" s="186">
        <f>IF(G27=1,J28*J38,(J28*J38)/FLU_XCHANGE_YR1)</f>
        <v>66.666666666666671</v>
      </c>
    </row>
    <row r="44" spans="2:10" s="134" customFormat="1">
      <c r="I44" s="68" t="s">
        <v>167</v>
      </c>
      <c r="J44" s="186">
        <f>IF(G27=1,J29*J38,(J29*J38)/FLU_XCHANGE_YR1)</f>
        <v>100</v>
      </c>
    </row>
    <row r="45" spans="2:10" s="134" customFormat="1"/>
    <row r="46" spans="2:10" s="134" customFormat="1">
      <c r="F46" s="155" t="str">
        <f>"Total Cost ("&amp;FLU_LU!$D$79&amp;")"</f>
        <v>Total Cost (GOZ)</v>
      </c>
      <c r="I46" s="68" t="s">
        <v>166</v>
      </c>
      <c r="J46" s="208">
        <f>IF(G27=2,J28*J38,(J28*J38)*FLU_XCHANGE_YR1)</f>
        <v>10000</v>
      </c>
    </row>
    <row r="47" spans="2:10" s="134" customFormat="1">
      <c r="I47" s="68" t="s">
        <v>167</v>
      </c>
      <c r="J47" s="208">
        <f>IF(G27=2,J29*J38,(J29*J38)*FLU_XCHANGE_YR1)</f>
        <v>15000</v>
      </c>
    </row>
    <row r="48" spans="2:10" s="134" customFormat="1" ht="15" thickBot="1">
      <c r="C48" s="55"/>
      <c r="D48" s="55"/>
      <c r="E48" s="55"/>
      <c r="F48" s="55"/>
      <c r="G48" s="55"/>
      <c r="H48" s="55"/>
      <c r="I48" s="55"/>
      <c r="J48" s="55"/>
    </row>
    <row r="49" spans="2:10" s="134" customFormat="1"/>
    <row r="50" spans="2:10" s="134" customFormat="1" ht="15.6">
      <c r="B50" s="12"/>
      <c r="C50" s="171" t="str">
        <f>FLU_LU!$D$342</f>
        <v xml:space="preserve">National press release for Health Care Worker vaccination </v>
      </c>
    </row>
    <row r="51" spans="2:10" s="134" customFormat="1"/>
    <row r="52" spans="2:10" s="134" customFormat="1"/>
    <row r="53" spans="2:10" s="134" customFormat="1" ht="57.6">
      <c r="C53" s="94" t="s">
        <v>194</v>
      </c>
      <c r="D53" s="111" t="s">
        <v>439</v>
      </c>
      <c r="G53" s="152" t="s">
        <v>117</v>
      </c>
      <c r="H53" s="72" t="s">
        <v>476</v>
      </c>
      <c r="J53" s="72" t="s">
        <v>477</v>
      </c>
    </row>
    <row r="54" spans="2:10" s="134" customFormat="1">
      <c r="G54" s="31">
        <v>2</v>
      </c>
    </row>
    <row r="55" spans="2:10" s="134" customFormat="1">
      <c r="F55" s="152" t="s">
        <v>189</v>
      </c>
      <c r="H55" s="95">
        <f ca="1">IF(G54=2,TRAINING_BA!L118,TRAINING_BA!N118)</f>
        <v>850</v>
      </c>
      <c r="I55" s="159" t="str">
        <f ca="1">OFFSET(FLU_LU!$D$77,G54,0)</f>
        <v>GOZ</v>
      </c>
      <c r="J55" s="115">
        <v>22011</v>
      </c>
    </row>
    <row r="56" spans="2:10" s="134" customFormat="1">
      <c r="F56" s="152" t="s">
        <v>190</v>
      </c>
      <c r="H56" s="95">
        <f ca="1">IF(G54=2,TRAINING_BA!M118,TRAINING_BA!O118)</f>
        <v>850</v>
      </c>
      <c r="I56" s="159" t="str">
        <f ca="1">OFFSET(FLU_LU!$D$77,G54,0)</f>
        <v>GOZ</v>
      </c>
      <c r="J56" s="115">
        <v>40612</v>
      </c>
    </row>
    <row r="57" spans="2:10" s="134" customFormat="1"/>
    <row r="58" spans="2:10" s="134" customFormat="1">
      <c r="D58" s="344" t="str">
        <f>"Go to "&amp;HL_FLU_Social_Mob_B</f>
        <v xml:space="preserve">Go to Detailed Cost Estimate: National press release for Health Care Worker vaccination </v>
      </c>
    </row>
    <row r="59" spans="2:10" s="134" customFormat="1"/>
    <row r="60" spans="2:10" s="134" customFormat="1" ht="15.6">
      <c r="D60" s="111" t="s">
        <v>479</v>
      </c>
    </row>
    <row r="61" spans="2:10" s="134" customFormat="1">
      <c r="F61" s="667"/>
      <c r="G61" s="667"/>
      <c r="H61" s="667"/>
      <c r="I61" s="667"/>
    </row>
    <row r="62" spans="2:10" s="134" customFormat="1">
      <c r="F62" s="667"/>
      <c r="G62" s="667"/>
      <c r="H62" s="667"/>
      <c r="I62" s="667"/>
    </row>
    <row r="63" spans="2:10" s="134" customFormat="1">
      <c r="F63" s="667"/>
      <c r="G63" s="667"/>
      <c r="H63" s="667"/>
      <c r="I63" s="667"/>
      <c r="J63" s="12"/>
    </row>
    <row r="64" spans="2:10" s="134" customFormat="1"/>
    <row r="65" spans="2:10" s="134" customFormat="1" ht="15.6">
      <c r="D65" s="111" t="s">
        <v>462</v>
      </c>
      <c r="J65" s="115">
        <v>1</v>
      </c>
    </row>
    <row r="66" spans="2:10" s="134" customFormat="1"/>
    <row r="67" spans="2:10" s="134" customFormat="1" ht="15.6">
      <c r="B67" s="82" t="str">
        <f>"OUTPUT - TOTAL ACTIVITIES COST FOR "&amp;HL_FLU_Training_General_A</f>
        <v>OUTPUT - TOTAL ACTIVITIES COST FOR Public Health Directorate Training</v>
      </c>
    </row>
    <row r="68" spans="2:10" s="134" customFormat="1"/>
    <row r="69" spans="2:10" s="134" customFormat="1">
      <c r="F69" s="155" t="str">
        <f>"Total Cost ("&amp;FLU_LU!$D$78&amp;")"</f>
        <v>Total Cost (USD)</v>
      </c>
      <c r="J69" s="12"/>
    </row>
    <row r="70" spans="2:10" s="134" customFormat="1">
      <c r="I70" s="68" t="s">
        <v>166</v>
      </c>
      <c r="J70" s="186">
        <f>IF(G54=1,J55*J65,(J55*J65)/FLU_XCHANGE_YR1)</f>
        <v>146.74</v>
      </c>
    </row>
    <row r="71" spans="2:10" s="134" customFormat="1">
      <c r="I71" s="68" t="s">
        <v>167</v>
      </c>
      <c r="J71" s="186">
        <f>IF(G54=1,J56*J65,(J56*J65)/FLU_XCHANGE_YR1)</f>
        <v>270.74666666666667</v>
      </c>
    </row>
    <row r="72" spans="2:10" s="134" customFormat="1"/>
    <row r="73" spans="2:10" s="134" customFormat="1">
      <c r="F73" s="155" t="str">
        <f>"Total Cost ("&amp;FLU_LU!$D$79&amp;")"</f>
        <v>Total Cost (GOZ)</v>
      </c>
      <c r="I73" s="68" t="s">
        <v>166</v>
      </c>
      <c r="J73" s="208">
        <f>IF(G54=2,J55*J65,(J55*J65)*FLU_XCHANGE_YR1)</f>
        <v>22011</v>
      </c>
    </row>
    <row r="74" spans="2:10" s="134" customFormat="1">
      <c r="I74" s="68" t="s">
        <v>167</v>
      </c>
      <c r="J74" s="208">
        <f>IF(G54=2,J56*J65,(J56*J65)*FLU_XCHANGE_YR1)</f>
        <v>40612</v>
      </c>
    </row>
    <row r="75" spans="2:10" s="134" customFormat="1" ht="15" thickBot="1">
      <c r="C75" s="55"/>
      <c r="D75" s="55"/>
      <c r="E75" s="55"/>
      <c r="F75" s="55"/>
      <c r="G75" s="55"/>
      <c r="H75" s="55"/>
      <c r="I75" s="55"/>
      <c r="J75" s="55"/>
    </row>
    <row r="76" spans="2:10" s="134" customFormat="1"/>
    <row r="77" spans="2:10" s="134" customFormat="1" ht="15.6">
      <c r="B77" s="12"/>
      <c r="C77" s="171" t="str">
        <f>FLU_LU!$D$343</f>
        <v>Media appearances/ interviews  on National  TV and Radio</v>
      </c>
    </row>
    <row r="78" spans="2:10" s="134" customFormat="1"/>
    <row r="79" spans="2:10" s="134" customFormat="1"/>
    <row r="80" spans="2:10" s="134" customFormat="1" ht="57.6">
      <c r="C80" s="94" t="s">
        <v>194</v>
      </c>
      <c r="D80" s="111" t="s">
        <v>439</v>
      </c>
      <c r="G80" s="152" t="s">
        <v>117</v>
      </c>
      <c r="H80" s="72" t="s">
        <v>476</v>
      </c>
      <c r="J80" s="72" t="s">
        <v>477</v>
      </c>
    </row>
    <row r="81" spans="2:10" s="134" customFormat="1">
      <c r="G81" s="31">
        <v>2</v>
      </c>
    </row>
    <row r="82" spans="2:10" s="134" customFormat="1">
      <c r="F82" s="152" t="s">
        <v>189</v>
      </c>
      <c r="H82" s="95">
        <f ca="1">IF(G81=2,TRAINING_BA!L169,TRAINING_BA!N169)</f>
        <v>0</v>
      </c>
      <c r="I82" s="159" t="str">
        <f ca="1">OFFSET(FLU_LU!$D$77,G81,0)</f>
        <v>GOZ</v>
      </c>
      <c r="J82" s="115">
        <v>20000</v>
      </c>
    </row>
    <row r="83" spans="2:10" s="134" customFormat="1">
      <c r="F83" s="152" t="s">
        <v>190</v>
      </c>
      <c r="H83" s="95">
        <f ca="1">IF(G81=2,TRAINING_BA!M169,TRAINING_BA!O169)</f>
        <v>0</v>
      </c>
      <c r="I83" s="159" t="str">
        <f ca="1">OFFSET(FLU_LU!$D$77,G81,0)</f>
        <v>GOZ</v>
      </c>
      <c r="J83" s="115">
        <v>40000</v>
      </c>
    </row>
    <row r="84" spans="2:10" s="134" customFormat="1"/>
    <row r="85" spans="2:10" s="134" customFormat="1">
      <c r="D85" s="344" t="str">
        <f>"Go to "&amp;HL_FLU_Social_Mob_C</f>
        <v>Go to Detailed Cost Estimate: Media appearances/ interviews  on National  TV and Radio</v>
      </c>
    </row>
    <row r="86" spans="2:10" s="134" customFormat="1"/>
    <row r="87" spans="2:10" s="134" customFormat="1" ht="15.6">
      <c r="D87" s="111" t="s">
        <v>479</v>
      </c>
    </row>
    <row r="88" spans="2:10" s="134" customFormat="1">
      <c r="F88" s="667"/>
      <c r="G88" s="667"/>
      <c r="H88" s="667"/>
      <c r="I88" s="667"/>
    </row>
    <row r="89" spans="2:10" s="134" customFormat="1">
      <c r="F89" s="667"/>
      <c r="G89" s="667"/>
      <c r="H89" s="667"/>
      <c r="I89" s="667"/>
    </row>
    <row r="90" spans="2:10" s="134" customFormat="1">
      <c r="F90" s="667"/>
      <c r="G90" s="667"/>
      <c r="H90" s="667"/>
      <c r="I90" s="667"/>
      <c r="J90" s="12"/>
    </row>
    <row r="91" spans="2:10" s="134" customFormat="1"/>
    <row r="92" spans="2:10" s="134" customFormat="1" ht="15.6">
      <c r="D92" s="111" t="s">
        <v>462</v>
      </c>
      <c r="J92" s="115">
        <v>1</v>
      </c>
    </row>
    <row r="93" spans="2:10" s="134" customFormat="1"/>
    <row r="94" spans="2:10" s="134" customFormat="1" ht="15.6">
      <c r="B94" s="82" t="str">
        <f>"OUTPUT - TOTAL ACTIVITIES COST FOR "&amp;HL_FLU_Training_General_A</f>
        <v>OUTPUT - TOTAL ACTIVITIES COST FOR Public Health Directorate Training</v>
      </c>
    </row>
    <row r="95" spans="2:10" s="134" customFormat="1"/>
    <row r="96" spans="2:10" s="134" customFormat="1">
      <c r="F96" s="155" t="str">
        <f>"Total Cost ("&amp;FLU_LU!$D$78&amp;")"</f>
        <v>Total Cost (USD)</v>
      </c>
      <c r="J96" s="12"/>
    </row>
    <row r="97" spans="3:10" s="134" customFormat="1">
      <c r="I97" s="68" t="s">
        <v>166</v>
      </c>
      <c r="J97" s="186">
        <f>IF(G81=1,J82*J92,(J82*J92)/FLU_XCHANGE_YR1)</f>
        <v>133.33333333333334</v>
      </c>
    </row>
    <row r="98" spans="3:10" s="134" customFormat="1">
      <c r="I98" s="68" t="s">
        <v>167</v>
      </c>
      <c r="J98" s="186">
        <f>IF(G81=1,J83*J92,(J83*J92)/FLU_XCHANGE_YR1)</f>
        <v>266.66666666666669</v>
      </c>
    </row>
    <row r="99" spans="3:10" s="134" customFormat="1"/>
    <row r="100" spans="3:10" s="134" customFormat="1">
      <c r="F100" s="155" t="str">
        <f>"Total Cost ("&amp;FLU_LU!$D$79&amp;")"</f>
        <v>Total Cost (GOZ)</v>
      </c>
      <c r="I100" s="68" t="s">
        <v>166</v>
      </c>
      <c r="J100" s="208">
        <f>IF(G81=2,J82*J92,(J82*J92)*FLU_XCHANGE_YR1)</f>
        <v>20000</v>
      </c>
    </row>
    <row r="101" spans="3:10" s="134" customFormat="1">
      <c r="I101" s="68" t="s">
        <v>167</v>
      </c>
      <c r="J101" s="208">
        <f>IF(G81=2,J83*J92,(J83*J92)*FLU_XCHANGE_YR1)</f>
        <v>40000</v>
      </c>
    </row>
    <row r="102" spans="3:10" s="134" customFormat="1" ht="15" thickBot="1">
      <c r="C102" s="55"/>
      <c r="D102" s="55"/>
      <c r="E102" s="55"/>
      <c r="F102" s="55"/>
      <c r="G102" s="55"/>
      <c r="H102" s="55"/>
      <c r="I102" s="55"/>
      <c r="J102" s="55"/>
    </row>
  </sheetData>
  <mergeCells count="14">
    <mergeCell ref="F35:I35"/>
    <mergeCell ref="B3:F3"/>
    <mergeCell ref="F34:I34"/>
    <mergeCell ref="G16:I16"/>
    <mergeCell ref="G17:I17"/>
    <mergeCell ref="G18:I18"/>
    <mergeCell ref="G15:I15"/>
    <mergeCell ref="F90:I90"/>
    <mergeCell ref="F36:I36"/>
    <mergeCell ref="F61:I61"/>
    <mergeCell ref="F62:I62"/>
    <mergeCell ref="F63:I63"/>
    <mergeCell ref="F88:I88"/>
    <mergeCell ref="F89:I89"/>
  </mergeCells>
  <dataValidations count="2">
    <dataValidation type="custom" showErrorMessage="1" errorTitle="Invalid Assumption" error="Assumption must be a number." sqref="J92 J82:J83 J65 J55:J56 J38 J28:J29" xr:uid="{00000000-0002-0000-1200-000000000000}">
      <formula1>NOT(ISERROR(J28/1))</formula1>
    </dataValidation>
    <dataValidation type="whole" showDropDown="1" showErrorMessage="1" errorTitle="Drop Down Box Cell Link" error="The value in a drop down box cell link must be a whole number within the control's lookup range rows." sqref="G27 G81 G54" xr:uid="{00000000-0002-0000-1200-000001000000}">
      <formula1>1</formula1>
      <formula2>ROWS(LU_FLU_Curr_Code)</formula2>
    </dataValidation>
  </dataValidations>
  <hyperlinks>
    <hyperlink ref="B4" location="HL_Sheet_Main_5" tooltip="Go to Previous Sheet" display="HL_Sheet_Main_5" xr:uid="{00000000-0004-0000-1200-000000000000}"/>
    <hyperlink ref="D58" location="HL_FLU_Social_Mob_B" tooltip="Click to follow hyperlink." display="HL_FLU_Social_Mob_B" xr:uid="{00000000-0004-0000-1200-000001000000}"/>
    <hyperlink ref="D85" location="HL_FLU_Social_Mob_C" tooltip="Click to follow hyperlink." display="HL_FLU_Social_Mob_C" xr:uid="{00000000-0004-0000-1200-000002000000}"/>
    <hyperlink ref="C4" location="HL_Sheet_Main_67" tooltip="Go to Next Sheet" display="HL_Sheet_Main_67" xr:uid="{00000000-0004-0000-1200-000003000000}"/>
    <hyperlink ref="D31" location="HL_FLU_Social_Mob_A" tooltip="Click to follow hyperlink." display="HL_FLU_Social_Mob_A" xr:uid="{00000000-0004-0000-1200-000004000000}"/>
    <hyperlink ref="A4" location="$B$10" tooltip="Go to Top of Sheet" display="$B$10" xr:uid="{00000000-0004-0000-1200-000005000000}"/>
    <hyperlink ref="B3" location="HL_Home" tooltip="Go to Table of Contents" display="HL_Home" xr:uid="{00000000-0004-0000-1200-000006000000}"/>
    <hyperlink ref="D4" location="HL_Err_Chk" tooltip="Go to Error Checks" display="HL_Err_Chk" xr:uid="{00000000-0004-0000-1200-000007000000}"/>
    <hyperlink ref="E4" location="HL_Sens_Chk" tooltip="Go to Sensitivity Checks" display="HL_Sens_Chk" xr:uid="{00000000-0004-0000-1200-000008000000}"/>
    <hyperlink ref="F4" location="HL_Alt_Chk" tooltip="Go to Alert Checks" display="HL_Alt_Chk" xr:uid="{00000000-0004-0000-1200-000009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13764" r:id="rId4" name="bpmDropDownFLU727">
              <controlPr defaultSize="0" autoFill="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13765" r:id="rId5" name="bpmDropDownFLU728">
              <controlPr defaultSize="0" autoFill="0" autoPict="0">
                <anchor mov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013766" r:id="rId6" name="bpmDropDownFLU729">
              <controlPr defaultSize="0" autoFill="0" autoPict="0">
                <anchor moveWithCells="1">
                  <from>
                    <xdr:col>6</xdr:col>
                    <xdr:colOff>0</xdr:colOff>
                    <xdr:row>80</xdr:row>
                    <xdr:rowOff>0</xdr:rowOff>
                  </from>
                  <to>
                    <xdr:col>7</xdr:col>
                    <xdr:colOff>0</xdr:colOff>
                    <xdr:row>81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35"/>
    <pageSetUpPr autoPageBreaks="0"/>
  </sheetPr>
  <dimension ref="A1:Q53"/>
  <sheetViews>
    <sheetView showGridLines="0" zoomScaleNormal="100" workbookViewId="0">
      <pane xSplit="1" ySplit="6" topLeftCell="B7" activePane="bottomRight" state="frozen"/>
      <selection pane="topRight"/>
      <selection pane="bottomLeft"/>
      <selection pane="bottomRight"/>
    </sheetView>
  </sheetViews>
  <sheetFormatPr defaultColWidth="11.6640625" defaultRowHeight="14.4" outlineLevelRow="2"/>
  <cols>
    <col min="1" max="2" width="3.6640625" customWidth="1"/>
    <col min="3" max="3" width="0" hidden="1" customWidth="1"/>
    <col min="4" max="4" width="4.6640625" customWidth="1"/>
    <col min="5" max="5" width="0" hidden="1" customWidth="1"/>
    <col min="6" max="6" width="2.88671875" customWidth="1"/>
    <col min="7" max="7" width="0" hidden="1" customWidth="1"/>
    <col min="8" max="8" width="1.44140625" customWidth="1"/>
    <col min="17" max="17" width="7.33203125" customWidth="1"/>
  </cols>
  <sheetData>
    <row r="1" spans="1:17" ht="21">
      <c r="B1" s="1" t="s">
        <v>1</v>
      </c>
    </row>
    <row r="2" spans="1:17" ht="18">
      <c r="B2" s="4" t="str">
        <f>Model_Name</f>
        <v>Seasonal Influenza Immunization Costing Tool (SIICT)  - Test Country</v>
      </c>
    </row>
    <row r="3" spans="1:17">
      <c r="B3" s="676" t="s">
        <v>2</v>
      </c>
      <c r="C3" s="676"/>
      <c r="D3" s="676"/>
      <c r="E3" s="676"/>
      <c r="F3" s="676"/>
      <c r="G3" s="676"/>
      <c r="H3" s="676"/>
      <c r="I3" s="676"/>
      <c r="J3" s="29"/>
    </row>
    <row r="5" spans="1:17">
      <c r="N5" t="s">
        <v>48</v>
      </c>
    </row>
    <row r="6" spans="1:17" s="11" customFormat="1" ht="17.399999999999999">
      <c r="A6" s="9" t="s">
        <v>3</v>
      </c>
      <c r="B6" s="10" t="s">
        <v>0</v>
      </c>
      <c r="Q6" s="105"/>
    </row>
    <row r="8" spans="1:17" ht="25.95" customHeight="1">
      <c r="B8" s="672">
        <v>1</v>
      </c>
      <c r="C8" s="672"/>
      <c r="D8" s="673" t="str">
        <f>'1'!C9</f>
        <v>Quick Summary</v>
      </c>
      <c r="E8" s="673"/>
      <c r="F8" s="673"/>
      <c r="G8" s="673"/>
      <c r="H8" s="673"/>
      <c r="I8" s="673"/>
      <c r="J8" s="673"/>
      <c r="K8" s="673"/>
      <c r="L8" s="673"/>
      <c r="M8" s="673"/>
      <c r="N8" s="673"/>
      <c r="O8" s="673"/>
      <c r="P8" s="673"/>
    </row>
    <row r="9" spans="1:17" outlineLevel="1">
      <c r="F9" s="670" t="s">
        <v>21</v>
      </c>
      <c r="G9" s="670"/>
      <c r="H9" s="671" t="str">
        <f>DASHBOARD!B1</f>
        <v>Dashboard</v>
      </c>
      <c r="I9" s="671"/>
      <c r="J9" s="671"/>
      <c r="K9" s="671"/>
      <c r="L9" s="671"/>
      <c r="M9" s="671"/>
      <c r="N9" s="671"/>
      <c r="O9" s="671"/>
      <c r="P9" s="671"/>
    </row>
    <row r="10" spans="1:17" outlineLevel="1">
      <c r="F10" s="670" t="s">
        <v>71</v>
      </c>
      <c r="G10" s="670"/>
      <c r="H10" s="671" t="str">
        <f>'SD-Analysis'!B1</f>
        <v>Service Delivery - Analysis</v>
      </c>
      <c r="I10" s="671"/>
      <c r="J10" s="671"/>
      <c r="K10" s="671"/>
      <c r="L10" s="671"/>
      <c r="M10" s="671"/>
      <c r="N10" s="671"/>
      <c r="O10" s="671"/>
      <c r="P10" s="671"/>
    </row>
    <row r="11" spans="1:17" outlineLevel="1">
      <c r="F11" s="670" t="s">
        <v>72</v>
      </c>
      <c r="G11" s="670"/>
      <c r="H11" s="671" t="str">
        <f>Graphs!B1</f>
        <v>Graphs &amp; Charts</v>
      </c>
      <c r="I11" s="671"/>
      <c r="J11" s="671"/>
      <c r="K11" s="671"/>
      <c r="L11" s="671"/>
      <c r="M11" s="671"/>
      <c r="N11" s="671"/>
      <c r="O11" s="671"/>
      <c r="P11" s="671"/>
    </row>
    <row r="12" spans="1:17" outlineLevel="1">
      <c r="F12" s="670" t="s">
        <v>73</v>
      </c>
      <c r="G12" s="670"/>
      <c r="H12" s="671" t="str">
        <f>INCREMENTAL!B1</f>
        <v>INCREMENTAL COSTING SUMMARY</v>
      </c>
      <c r="I12" s="671"/>
      <c r="J12" s="671"/>
      <c r="K12" s="671"/>
      <c r="L12" s="671"/>
      <c r="M12" s="671"/>
      <c r="N12" s="671"/>
      <c r="O12" s="671"/>
      <c r="P12" s="671"/>
    </row>
    <row r="13" spans="1:17" outlineLevel="1">
      <c r="F13" s="670" t="s">
        <v>74</v>
      </c>
      <c r="G13" s="670"/>
      <c r="H13" s="671" t="str">
        <f>FINANCING!B1</f>
        <v>Financing</v>
      </c>
      <c r="I13" s="671"/>
      <c r="J13" s="671"/>
      <c r="K13" s="671"/>
      <c r="L13" s="671"/>
      <c r="M13" s="671"/>
      <c r="N13" s="671"/>
      <c r="O13" s="671"/>
      <c r="P13" s="671"/>
    </row>
    <row r="14" spans="1:17" ht="25.95" customHeight="1">
      <c r="B14" s="672">
        <v>2</v>
      </c>
      <c r="C14" s="672"/>
      <c r="D14" s="673" t="str">
        <f>'2'!C9</f>
        <v>Setup</v>
      </c>
      <c r="E14" s="673"/>
      <c r="F14" s="673"/>
      <c r="G14" s="673"/>
      <c r="H14" s="673"/>
      <c r="I14" s="673"/>
      <c r="J14" s="673"/>
      <c r="K14" s="673"/>
      <c r="L14" s="673"/>
      <c r="M14" s="673"/>
      <c r="N14" s="673"/>
      <c r="O14" s="673"/>
      <c r="P14" s="673"/>
    </row>
    <row r="15" spans="1:17" outlineLevel="1">
      <c r="F15" s="670" t="s">
        <v>21</v>
      </c>
      <c r="G15" s="670"/>
      <c r="H15" s="671" t="str">
        <f>Time_Period!B1</f>
        <v>Time Period - Assumptions</v>
      </c>
      <c r="I15" s="671"/>
      <c r="J15" s="671"/>
      <c r="K15" s="671"/>
      <c r="L15" s="671"/>
      <c r="M15" s="671"/>
      <c r="N15" s="671"/>
      <c r="O15" s="671"/>
      <c r="P15" s="671"/>
    </row>
    <row r="16" spans="1:17" outlineLevel="1">
      <c r="F16" s="670" t="s">
        <v>71</v>
      </c>
      <c r="G16" s="670"/>
      <c r="H16" s="671" t="str">
        <f>Financial!B1</f>
        <v>Financial - Assumptions</v>
      </c>
      <c r="I16" s="671"/>
      <c r="J16" s="671"/>
      <c r="K16" s="671"/>
      <c r="L16" s="671"/>
      <c r="M16" s="671"/>
      <c r="N16" s="671"/>
      <c r="O16" s="671"/>
      <c r="P16" s="671"/>
    </row>
    <row r="17" spans="2:16" outlineLevel="1">
      <c r="F17" s="670" t="s">
        <v>72</v>
      </c>
      <c r="G17" s="670"/>
      <c r="H17" s="671" t="str">
        <f>Labels!B1</f>
        <v>Labels - (For Customizing this Tool)</v>
      </c>
      <c r="I17" s="671"/>
      <c r="J17" s="671"/>
      <c r="K17" s="671"/>
      <c r="L17" s="671"/>
      <c r="M17" s="671"/>
      <c r="N17" s="671"/>
      <c r="O17" s="671"/>
      <c r="P17" s="671"/>
    </row>
    <row r="18" spans="2:16" outlineLevel="1">
      <c r="F18" s="670" t="s">
        <v>73</v>
      </c>
      <c r="G18" s="670"/>
      <c r="H18" s="671" t="str">
        <f>TGT_POPS!B1</f>
        <v>Target Populations and Coverage Estimates</v>
      </c>
      <c r="I18" s="671"/>
      <c r="J18" s="671"/>
      <c r="K18" s="671"/>
      <c r="L18" s="671"/>
      <c r="M18" s="671"/>
      <c r="N18" s="671"/>
      <c r="O18" s="671"/>
      <c r="P18" s="671"/>
    </row>
    <row r="19" spans="2:16" ht="15" hidden="1" customHeight="1" outlineLevel="2">
      <c r="H19" s="78" t="s">
        <v>24</v>
      </c>
      <c r="I19" s="669" t="str">
        <f>TOC_Hdg_21</f>
        <v>Input - Target Population Estimates</v>
      </c>
      <c r="J19" s="669"/>
      <c r="K19" s="669"/>
      <c r="L19" s="669"/>
      <c r="M19" s="669"/>
      <c r="N19" s="669"/>
      <c r="O19" s="669"/>
      <c r="P19" s="669"/>
    </row>
    <row r="20" spans="2:16" ht="15" hidden="1" customHeight="1" outlineLevel="2">
      <c r="H20" s="78" t="s">
        <v>24</v>
      </c>
      <c r="I20" s="669" t="str">
        <f>TOC_Hdg_30</f>
        <v>Input - Coverage Estimates</v>
      </c>
      <c r="J20" s="669"/>
      <c r="K20" s="669"/>
      <c r="L20" s="669"/>
      <c r="M20" s="669"/>
      <c r="N20" s="669"/>
      <c r="O20" s="669"/>
      <c r="P20" s="669"/>
    </row>
    <row r="21" spans="2:16" ht="15" hidden="1" customHeight="1" outlineLevel="2">
      <c r="H21" s="78" t="s">
        <v>24</v>
      </c>
      <c r="I21" s="669" t="str">
        <f>TOC_Hdg_32</f>
        <v>Number Targeted for Vaccination - by Target Population Group</v>
      </c>
      <c r="J21" s="669"/>
      <c r="K21" s="669"/>
      <c r="L21" s="669"/>
      <c r="M21" s="669"/>
      <c r="N21" s="669"/>
      <c r="O21" s="669"/>
      <c r="P21" s="669"/>
    </row>
    <row r="22" spans="2:16" outlineLevel="1" collapsed="1">
      <c r="F22" s="670" t="s">
        <v>74</v>
      </c>
      <c r="G22" s="670"/>
      <c r="H22" s="671" t="str">
        <f>MICRO!B1</f>
        <v>Microplanning Estimates</v>
      </c>
      <c r="I22" s="671"/>
      <c r="J22" s="671"/>
      <c r="K22" s="671"/>
      <c r="L22" s="671"/>
      <c r="M22" s="671"/>
      <c r="N22" s="671"/>
      <c r="O22" s="671"/>
      <c r="P22" s="671"/>
    </row>
    <row r="23" spans="2:16" outlineLevel="1">
      <c r="F23" s="670" t="s">
        <v>191</v>
      </c>
      <c r="G23" s="670"/>
      <c r="H23" s="671" t="str">
        <f>PROCUR!B1</f>
        <v>Procurement Estimates</v>
      </c>
      <c r="I23" s="671"/>
      <c r="J23" s="671"/>
      <c r="K23" s="671"/>
      <c r="L23" s="671"/>
      <c r="M23" s="671"/>
      <c r="N23" s="671"/>
      <c r="O23" s="671"/>
      <c r="P23" s="671"/>
    </row>
    <row r="24" spans="2:16" outlineLevel="1">
      <c r="F24" s="670" t="s">
        <v>195</v>
      </c>
      <c r="G24" s="670"/>
      <c r="H24" s="671" t="str">
        <f>DISTRIB!B1</f>
        <v>Distribution Estimates</v>
      </c>
      <c r="I24" s="671"/>
      <c r="J24" s="671"/>
      <c r="K24" s="671"/>
      <c r="L24" s="671"/>
      <c r="M24" s="671"/>
      <c r="N24" s="671"/>
      <c r="O24" s="671"/>
      <c r="P24" s="671"/>
    </row>
    <row r="25" spans="2:16" outlineLevel="1">
      <c r="F25" s="670" t="s">
        <v>197</v>
      </c>
      <c r="G25" s="670"/>
      <c r="H25" s="671" t="str">
        <f>TRAIN!B1</f>
        <v>Training</v>
      </c>
      <c r="I25" s="671"/>
      <c r="J25" s="671"/>
      <c r="K25" s="671"/>
      <c r="L25" s="671"/>
      <c r="M25" s="671"/>
      <c r="N25" s="671"/>
      <c r="O25" s="671"/>
      <c r="P25" s="671"/>
    </row>
    <row r="26" spans="2:16" outlineLevel="1">
      <c r="F26" s="670" t="s">
        <v>198</v>
      </c>
      <c r="G26" s="670"/>
      <c r="H26" s="671" t="str">
        <f>IEC!B1</f>
        <v>Social Mobilisation / IEC - Estimates</v>
      </c>
      <c r="I26" s="671"/>
      <c r="J26" s="671"/>
      <c r="K26" s="671"/>
      <c r="L26" s="671"/>
      <c r="M26" s="671"/>
      <c r="N26" s="671"/>
      <c r="O26" s="671"/>
      <c r="P26" s="671"/>
    </row>
    <row r="27" spans="2:16" outlineLevel="1">
      <c r="F27" s="670" t="s">
        <v>405</v>
      </c>
      <c r="G27" s="670"/>
      <c r="H27" s="671" t="str">
        <f>SD_IMM!B1</f>
        <v>Service Delivery - Immunization Activities</v>
      </c>
      <c r="I27" s="671"/>
      <c r="J27" s="671"/>
      <c r="K27" s="671"/>
      <c r="L27" s="671"/>
      <c r="M27" s="671"/>
      <c r="N27" s="671"/>
      <c r="O27" s="671"/>
      <c r="P27" s="671"/>
    </row>
    <row r="28" spans="2:16" outlineLevel="1">
      <c r="F28" s="670" t="s">
        <v>406</v>
      </c>
      <c r="G28" s="670"/>
      <c r="H28" s="671" t="str">
        <f>SUPV!B1</f>
        <v>Supervision, Monitoring and Evaluation - Estimates</v>
      </c>
      <c r="I28" s="671"/>
      <c r="J28" s="671"/>
      <c r="K28" s="671"/>
      <c r="L28" s="671"/>
      <c r="M28" s="671"/>
      <c r="N28" s="671"/>
      <c r="O28" s="671"/>
      <c r="P28" s="671"/>
    </row>
    <row r="29" spans="2:16" outlineLevel="1">
      <c r="F29" s="670" t="s">
        <v>407</v>
      </c>
      <c r="G29" s="670"/>
      <c r="H29" s="671" t="str">
        <f>Other!B1</f>
        <v>Other Activities - Estimates</v>
      </c>
      <c r="I29" s="671"/>
      <c r="J29" s="671"/>
      <c r="K29" s="671"/>
      <c r="L29" s="671"/>
      <c r="M29" s="671"/>
      <c r="N29" s="671"/>
      <c r="O29" s="671"/>
      <c r="P29" s="671"/>
    </row>
    <row r="30" spans="2:16" outlineLevel="1">
      <c r="F30" s="670" t="s">
        <v>408</v>
      </c>
      <c r="G30" s="670"/>
      <c r="H30" s="671" t="str">
        <f>COLD!B1</f>
        <v>Cold Chain Expansion</v>
      </c>
      <c r="I30" s="671"/>
      <c r="J30" s="671"/>
      <c r="K30" s="671"/>
      <c r="L30" s="671"/>
      <c r="M30" s="671"/>
      <c r="N30" s="671"/>
      <c r="O30" s="671"/>
      <c r="P30" s="671"/>
    </row>
    <row r="31" spans="2:16" ht="25.95" customHeight="1">
      <c r="B31" s="672">
        <v>3</v>
      </c>
      <c r="C31" s="672"/>
      <c r="D31" s="673" t="str">
        <f>'3'!C9</f>
        <v>Detailed  Costing Assumptions Worksheets (Optional)</v>
      </c>
      <c r="E31" s="673"/>
      <c r="F31" s="673"/>
      <c r="G31" s="673"/>
      <c r="H31" s="673"/>
      <c r="I31" s="673"/>
      <c r="J31" s="673"/>
      <c r="K31" s="673"/>
      <c r="L31" s="673"/>
      <c r="M31" s="673"/>
      <c r="N31" s="673"/>
      <c r="O31" s="673"/>
      <c r="P31" s="673"/>
    </row>
    <row r="32" spans="2:16" outlineLevel="1">
      <c r="F32" s="670" t="s">
        <v>21</v>
      </c>
      <c r="G32" s="670"/>
      <c r="H32" s="671" t="str">
        <f>MICROPLANNING_BA!B1</f>
        <v>Detailed Microplanning Cost Estimate Worksheet</v>
      </c>
      <c r="I32" s="671"/>
      <c r="J32" s="671"/>
      <c r="K32" s="671"/>
      <c r="L32" s="671"/>
      <c r="M32" s="671"/>
      <c r="N32" s="671"/>
      <c r="O32" s="671"/>
      <c r="P32" s="671"/>
    </row>
    <row r="33" spans="2:16" outlineLevel="1">
      <c r="F33" s="670" t="s">
        <v>71</v>
      </c>
      <c r="G33" s="670"/>
      <c r="H33" s="671" t="str">
        <f>DISTRIBUTION_BA!B1</f>
        <v>Detailed Distribution Costs Estimates</v>
      </c>
      <c r="I33" s="671"/>
      <c r="J33" s="671"/>
      <c r="K33" s="671"/>
      <c r="L33" s="671"/>
      <c r="M33" s="671"/>
      <c r="N33" s="671"/>
      <c r="O33" s="671"/>
      <c r="P33" s="671"/>
    </row>
    <row r="34" spans="2:16" outlineLevel="1">
      <c r="F34" s="670" t="s">
        <v>72</v>
      </c>
      <c r="G34" s="670"/>
      <c r="H34" s="671" t="str">
        <f>TRAINING_BA!B1</f>
        <v>Detailed Preparatory Training Cost Estimate Worksheet</v>
      </c>
      <c r="I34" s="671"/>
      <c r="J34" s="671"/>
      <c r="K34" s="671"/>
      <c r="L34" s="671"/>
      <c r="M34" s="671"/>
      <c r="N34" s="671"/>
      <c r="O34" s="671"/>
      <c r="P34" s="671"/>
    </row>
    <row r="35" spans="2:16" outlineLevel="1">
      <c r="F35" s="670" t="s">
        <v>73</v>
      </c>
      <c r="G35" s="670"/>
      <c r="H35" s="671" t="str">
        <f>SOC_MOB_BA!B1</f>
        <v>Detailed Social Mobilization  and Communication Cost Estimate Worksheet</v>
      </c>
      <c r="I35" s="671"/>
      <c r="J35" s="671"/>
      <c r="K35" s="671"/>
      <c r="L35" s="671"/>
      <c r="M35" s="671"/>
      <c r="N35" s="671"/>
      <c r="O35" s="671"/>
      <c r="P35" s="671"/>
    </row>
    <row r="36" spans="2:16" outlineLevel="1">
      <c r="F36" s="670" t="s">
        <v>74</v>
      </c>
      <c r="G36" s="670"/>
      <c r="H36" s="671" t="str">
        <f>SUPERV_BA!B1</f>
        <v>Detailed Supervision Cost Estimate Worksheet</v>
      </c>
      <c r="I36" s="671"/>
      <c r="J36" s="671"/>
      <c r="K36" s="671"/>
      <c r="L36" s="671"/>
      <c r="M36" s="671"/>
      <c r="N36" s="671"/>
      <c r="O36" s="671"/>
      <c r="P36" s="671"/>
    </row>
    <row r="37" spans="2:16" outlineLevel="1">
      <c r="F37" s="670" t="s">
        <v>191</v>
      </c>
      <c r="G37" s="670"/>
      <c r="H37" s="671" t="str">
        <f>SD_ROUTINE_BA!B1</f>
        <v>Detailed Routine Vaccination Add-on Cost Estimate Worksheet</v>
      </c>
      <c r="I37" s="671"/>
      <c r="J37" s="671"/>
      <c r="K37" s="671"/>
      <c r="L37" s="671"/>
      <c r="M37" s="671"/>
      <c r="N37" s="671"/>
      <c r="O37" s="671"/>
      <c r="P37" s="671"/>
    </row>
    <row r="38" spans="2:16" outlineLevel="1">
      <c r="F38" s="670" t="s">
        <v>195</v>
      </c>
      <c r="G38" s="670"/>
      <c r="H38" s="671" t="str">
        <f>SD_SIA_BA!B1</f>
        <v>Detailed Special Immunization Activities Cost Estimate Worksheet</v>
      </c>
      <c r="I38" s="671"/>
      <c r="J38" s="671"/>
      <c r="K38" s="671"/>
      <c r="L38" s="671"/>
      <c r="M38" s="671"/>
      <c r="N38" s="671"/>
      <c r="O38" s="671"/>
      <c r="P38" s="671"/>
    </row>
    <row r="39" spans="2:16" outlineLevel="1">
      <c r="F39" s="670" t="s">
        <v>197</v>
      </c>
      <c r="G39" s="670"/>
      <c r="H39" s="671" t="str">
        <f>OTHER_BA!B1</f>
        <v>Detailed Other Activities Cost Estimate Worksheet</v>
      </c>
      <c r="I39" s="671"/>
      <c r="J39" s="671"/>
      <c r="K39" s="671"/>
      <c r="L39" s="671"/>
      <c r="M39" s="671"/>
      <c r="N39" s="671"/>
      <c r="O39" s="671"/>
      <c r="P39" s="671"/>
    </row>
    <row r="40" spans="2:16" ht="25.95" customHeight="1">
      <c r="B40" s="672">
        <v>4</v>
      </c>
      <c r="C40" s="672"/>
      <c r="D40" s="673" t="str">
        <f>App_SC!C9</f>
        <v>Appendices</v>
      </c>
      <c r="E40" s="673"/>
      <c r="F40" s="673"/>
      <c r="G40" s="673"/>
      <c r="H40" s="673"/>
      <c r="I40" s="673"/>
      <c r="J40" s="673"/>
      <c r="K40" s="673"/>
      <c r="L40" s="673"/>
      <c r="M40" s="673"/>
      <c r="N40" s="673"/>
      <c r="O40" s="673"/>
      <c r="P40" s="673"/>
    </row>
    <row r="41" spans="2:16" outlineLevel="1">
      <c r="F41" s="670" t="s">
        <v>21</v>
      </c>
      <c r="G41" s="670"/>
      <c r="H41" s="671" t="str">
        <f>Reference_Data_BA!B1</f>
        <v>Reference Data</v>
      </c>
      <c r="I41" s="671"/>
      <c r="J41" s="671"/>
      <c r="K41" s="671"/>
      <c r="L41" s="671"/>
      <c r="M41" s="671"/>
      <c r="N41" s="671"/>
      <c r="O41" s="671"/>
      <c r="P41" s="671"/>
    </row>
    <row r="42" spans="2:16" outlineLevel="1">
      <c r="F42" s="670" t="s">
        <v>71</v>
      </c>
      <c r="G42" s="670"/>
      <c r="H42" s="671" t="str">
        <f>Cost_Ingredients!B1</f>
        <v>Cost Ingredients</v>
      </c>
      <c r="I42" s="671"/>
      <c r="J42" s="671"/>
      <c r="K42" s="671"/>
      <c r="L42" s="671"/>
      <c r="M42" s="671"/>
      <c r="N42" s="671"/>
      <c r="O42" s="671"/>
      <c r="P42" s="671"/>
    </row>
    <row r="43" spans="2:16" ht="15.6">
      <c r="D43" s="674" t="s">
        <v>826</v>
      </c>
      <c r="E43" s="674"/>
      <c r="F43" s="675" t="str">
        <f>Doc_SSC!C9</f>
        <v>Model Documentation</v>
      </c>
      <c r="G43" s="675"/>
      <c r="H43" s="675"/>
      <c r="I43" s="675"/>
      <c r="J43" s="675"/>
      <c r="K43" s="675"/>
      <c r="L43" s="675"/>
      <c r="M43" s="675"/>
      <c r="N43" s="675"/>
      <c r="O43" s="675"/>
      <c r="P43" s="675"/>
    </row>
    <row r="44" spans="2:16" outlineLevel="1">
      <c r="F44" s="670" t="s">
        <v>21</v>
      </c>
      <c r="G44" s="670"/>
      <c r="H44" s="671" t="str">
        <f>About_Flutool_P_MS!B1</f>
        <v>About this Tool</v>
      </c>
      <c r="I44" s="671"/>
      <c r="J44" s="671"/>
      <c r="K44" s="671"/>
      <c r="L44" s="671"/>
      <c r="M44" s="671"/>
      <c r="N44" s="671"/>
      <c r="O44" s="671"/>
      <c r="P44" s="671"/>
    </row>
    <row r="45" spans="2:16" outlineLevel="1">
      <c r="F45" s="670" t="s">
        <v>71</v>
      </c>
      <c r="G45" s="670"/>
      <c r="H45" s="671" t="str">
        <f>About_Flu_BO!B1</f>
        <v>About Seasonal Influenza</v>
      </c>
      <c r="I45" s="671"/>
      <c r="J45" s="671"/>
      <c r="K45" s="671"/>
      <c r="L45" s="671"/>
      <c r="M45" s="671"/>
      <c r="N45" s="671"/>
      <c r="O45" s="671"/>
      <c r="P45" s="671"/>
    </row>
    <row r="46" spans="2:16" ht="15.6">
      <c r="D46" s="674" t="s">
        <v>828</v>
      </c>
      <c r="E46" s="674"/>
      <c r="F46" s="675" t="str">
        <f>LU_SSC!C9</f>
        <v>Lookup Tables</v>
      </c>
      <c r="G46" s="675"/>
      <c r="H46" s="675"/>
      <c r="I46" s="675"/>
      <c r="J46" s="675"/>
      <c r="K46" s="675"/>
      <c r="L46" s="675"/>
      <c r="M46" s="675"/>
      <c r="N46" s="675"/>
      <c r="O46" s="675"/>
      <c r="P46" s="675"/>
    </row>
    <row r="47" spans="2:16" outlineLevel="1">
      <c r="F47" s="670" t="s">
        <v>21</v>
      </c>
      <c r="G47" s="670"/>
      <c r="H47" s="671" t="str">
        <f>TS_LU!B1</f>
        <v>Time Series Lookup Tables</v>
      </c>
      <c r="I47" s="671"/>
      <c r="J47" s="671"/>
      <c r="K47" s="671"/>
      <c r="L47" s="671"/>
      <c r="M47" s="671"/>
      <c r="N47" s="671"/>
      <c r="O47" s="671"/>
      <c r="P47" s="671"/>
    </row>
    <row r="48" spans="2:16" outlineLevel="1">
      <c r="F48" s="670" t="s">
        <v>71</v>
      </c>
      <c r="G48" s="670"/>
      <c r="H48" s="671" t="str">
        <f>FLU_LU!B1</f>
        <v>LOOK UP TABLES</v>
      </c>
      <c r="I48" s="671"/>
      <c r="J48" s="671"/>
      <c r="K48" s="671"/>
      <c r="L48" s="671"/>
      <c r="M48" s="671"/>
      <c r="N48" s="671"/>
      <c r="O48" s="671"/>
      <c r="P48" s="671"/>
    </row>
    <row r="49" spans="4:16" ht="15.6">
      <c r="D49" s="674" t="s">
        <v>830</v>
      </c>
      <c r="E49" s="674"/>
      <c r="F49" s="675" t="str">
        <f>Chks_SSC!C9</f>
        <v>Checks</v>
      </c>
      <c r="G49" s="675"/>
      <c r="H49" s="675"/>
      <c r="I49" s="675"/>
      <c r="J49" s="675"/>
      <c r="K49" s="675"/>
      <c r="L49" s="675"/>
      <c r="M49" s="675"/>
      <c r="N49" s="675"/>
      <c r="O49" s="675"/>
      <c r="P49" s="675"/>
    </row>
    <row r="50" spans="4:16" outlineLevel="1">
      <c r="F50" s="670" t="s">
        <v>21</v>
      </c>
      <c r="G50" s="670"/>
      <c r="H50" s="671" t="str">
        <f>Chks_BO!B1</f>
        <v>Checks</v>
      </c>
      <c r="I50" s="671"/>
      <c r="J50" s="671"/>
      <c r="K50" s="671"/>
      <c r="L50" s="671"/>
      <c r="M50" s="671"/>
      <c r="N50" s="671"/>
      <c r="O50" s="671"/>
      <c r="P50" s="671"/>
    </row>
    <row r="51" spans="4:16" ht="15" hidden="1" customHeight="1" outlineLevel="2">
      <c r="H51" s="78" t="s">
        <v>24</v>
      </c>
      <c r="I51" s="669" t="str">
        <f>TOC_Hdg_1</f>
        <v>Error Checks</v>
      </c>
      <c r="J51" s="669"/>
      <c r="K51" s="669"/>
      <c r="L51" s="669"/>
      <c r="M51" s="669"/>
      <c r="N51" s="669"/>
      <c r="O51" s="669"/>
      <c r="P51" s="669"/>
    </row>
    <row r="52" spans="4:16" ht="15" hidden="1" customHeight="1" outlineLevel="2">
      <c r="H52" s="78" t="s">
        <v>24</v>
      </c>
      <c r="I52" s="669" t="str">
        <f>TOC_Hdg_2</f>
        <v>Sensitivity Checks</v>
      </c>
      <c r="J52" s="669"/>
      <c r="K52" s="669"/>
      <c r="L52" s="669"/>
      <c r="M52" s="669"/>
      <c r="N52" s="669"/>
      <c r="O52" s="669"/>
      <c r="P52" s="669"/>
    </row>
    <row r="53" spans="4:16" ht="15" hidden="1" customHeight="1" outlineLevel="2">
      <c r="H53" s="78" t="s">
        <v>24</v>
      </c>
      <c r="I53" s="669" t="str">
        <f>TOC_Hdg_3</f>
        <v>Alert Checks</v>
      </c>
      <c r="J53" s="669"/>
      <c r="K53" s="669"/>
      <c r="L53" s="669"/>
      <c r="M53" s="669"/>
      <c r="N53" s="669"/>
      <c r="O53" s="669"/>
      <c r="P53" s="669"/>
    </row>
  </sheetData>
  <mergeCells count="87">
    <mergeCell ref="F41:G41"/>
    <mergeCell ref="H41:P41"/>
    <mergeCell ref="B3:I3"/>
    <mergeCell ref="B8:C8"/>
    <mergeCell ref="D8:P8"/>
    <mergeCell ref="F16:G16"/>
    <mergeCell ref="H16:P16"/>
    <mergeCell ref="F11:G11"/>
    <mergeCell ref="F9:G9"/>
    <mergeCell ref="H9:P9"/>
    <mergeCell ref="F10:G10"/>
    <mergeCell ref="H10:P10"/>
    <mergeCell ref="F12:G12"/>
    <mergeCell ref="H12:P12"/>
    <mergeCell ref="F36:G36"/>
    <mergeCell ref="H36:P36"/>
    <mergeCell ref="H11:P11"/>
    <mergeCell ref="I19:P19"/>
    <mergeCell ref="F22:G22"/>
    <mergeCell ref="F24:G24"/>
    <mergeCell ref="H24:P24"/>
    <mergeCell ref="I20:P20"/>
    <mergeCell ref="H22:P22"/>
    <mergeCell ref="F23:G23"/>
    <mergeCell ref="H23:P23"/>
    <mergeCell ref="F18:G18"/>
    <mergeCell ref="H18:P18"/>
    <mergeCell ref="I21:P21"/>
    <mergeCell ref="F17:G17"/>
    <mergeCell ref="H17:P17"/>
    <mergeCell ref="F15:G15"/>
    <mergeCell ref="H15:P15"/>
    <mergeCell ref="F35:G35"/>
    <mergeCell ref="H35:P35"/>
    <mergeCell ref="F25:G25"/>
    <mergeCell ref="H25:P25"/>
    <mergeCell ref="F27:G27"/>
    <mergeCell ref="F28:G28"/>
    <mergeCell ref="H28:P28"/>
    <mergeCell ref="F34:G34"/>
    <mergeCell ref="H34:P34"/>
    <mergeCell ref="H33:P33"/>
    <mergeCell ref="F26:G26"/>
    <mergeCell ref="H26:P26"/>
    <mergeCell ref="B31:C31"/>
    <mergeCell ref="D31:P31"/>
    <mergeCell ref="F39:G39"/>
    <mergeCell ref="H39:P39"/>
    <mergeCell ref="H27:P27"/>
    <mergeCell ref="F29:G29"/>
    <mergeCell ref="H29:P29"/>
    <mergeCell ref="F30:G30"/>
    <mergeCell ref="H30:P30"/>
    <mergeCell ref="F37:G37"/>
    <mergeCell ref="H37:P37"/>
    <mergeCell ref="F38:G38"/>
    <mergeCell ref="H38:P38"/>
    <mergeCell ref="F32:G32"/>
    <mergeCell ref="H32:P32"/>
    <mergeCell ref="F33:G33"/>
    <mergeCell ref="F43:P43"/>
    <mergeCell ref="I52:P52"/>
    <mergeCell ref="I51:P51"/>
    <mergeCell ref="F50:G50"/>
    <mergeCell ref="H50:P50"/>
    <mergeCell ref="F44:G44"/>
    <mergeCell ref="H44:P44"/>
    <mergeCell ref="F47:G47"/>
    <mergeCell ref="H47:P47"/>
    <mergeCell ref="F45:G45"/>
    <mergeCell ref="H45:P45"/>
    <mergeCell ref="I53:P53"/>
    <mergeCell ref="F13:G13"/>
    <mergeCell ref="H13:P13"/>
    <mergeCell ref="B14:C14"/>
    <mergeCell ref="D14:P14"/>
    <mergeCell ref="D46:E46"/>
    <mergeCell ref="F46:P46"/>
    <mergeCell ref="F48:G48"/>
    <mergeCell ref="H48:P48"/>
    <mergeCell ref="D49:E49"/>
    <mergeCell ref="F49:P49"/>
    <mergeCell ref="B40:C40"/>
    <mergeCell ref="D40:P40"/>
    <mergeCell ref="F42:G42"/>
    <mergeCell ref="H42:P42"/>
    <mergeCell ref="D43:E43"/>
  </mergeCells>
  <hyperlinks>
    <hyperlink ref="A6" location="$B$7" tooltip="Go to Top of Sheet" display="$B$7" xr:uid="{00000000-0004-0000-0200-000000000000}"/>
    <hyperlink ref="B8" location="HL_Sheet_Main_55" tooltip="Go to Quick Summary" display="HL_Sheet_Main_55" xr:uid="{00000000-0004-0000-0200-000001000000}"/>
    <hyperlink ref="D8" location="HL_Sheet_Main_55" tooltip="Go to Quick Summary" display="HL_Sheet_Main_55" xr:uid="{00000000-0004-0000-0200-000002000000}"/>
    <hyperlink ref="F9" location="Dashboard" tooltip="Go to Dashboard" display="Dashboard" xr:uid="{00000000-0004-0000-0200-000003000000}"/>
    <hyperlink ref="H9" location="Dashboard" tooltip="Go to Dashboard" display="Dashboard" xr:uid="{00000000-0004-0000-0200-000004000000}"/>
    <hyperlink ref="F10" location="HL_Sheet_Main_36" tooltip="Go to Service Delivery - Analysis" display="HL_Sheet_Main_36" xr:uid="{00000000-0004-0000-0200-000005000000}"/>
    <hyperlink ref="H10" location="HL_Sheet_Main_36" tooltip="Go to Service Delivery - Analysis" display="HL_Sheet_Main_36" xr:uid="{00000000-0004-0000-0200-000006000000}"/>
    <hyperlink ref="F11" location="HL_Sheet_Main_13" tooltip="Go to Graphs &amp; Charts" display="HL_Sheet_Main_13" xr:uid="{00000000-0004-0000-0200-000007000000}"/>
    <hyperlink ref="H11" location="HL_Sheet_Main_13" tooltip="Go to Graphs &amp; Charts" display="HL_Sheet_Main_13" xr:uid="{00000000-0004-0000-0200-000008000000}"/>
    <hyperlink ref="F12" location="HL_Sheet_Main_26" tooltip="Go to INCREMENTAL COSTING SUMMARY" display="HL_Sheet_Main_26" xr:uid="{00000000-0004-0000-0200-000009000000}"/>
    <hyperlink ref="H12" location="HL_Sheet_Main_26" tooltip="Go to INCREMENTAL COSTING SUMMARY" display="HL_Sheet_Main_26" xr:uid="{00000000-0004-0000-0200-00000A000000}"/>
    <hyperlink ref="F13" location="HL_Sheet_Main_15" tooltip="Go to [Insert Schematics Sheet Title]" display="HL_Sheet_Main_15" xr:uid="{00000000-0004-0000-0200-00000B000000}"/>
    <hyperlink ref="H13" location="HL_Sheet_Main_15" tooltip="Go to [Insert Schematics Sheet Title]" display="HL_Sheet_Main_15" xr:uid="{00000000-0004-0000-0200-00000C000000}"/>
    <hyperlink ref="B14" location="HL_Sheet_Main_46" tooltip="Go to Setup" display="HL_Sheet_Main_46" xr:uid="{00000000-0004-0000-0200-00000D000000}"/>
    <hyperlink ref="D14" location="HL_Sheet_Main_46" tooltip="Go to Setup" display="HL_Sheet_Main_46" xr:uid="{00000000-0004-0000-0200-00000E000000}"/>
    <hyperlink ref="F15" location="HL_Sheet_Main_4" tooltip="Go to Time Period - Assumptions" display="HL_Sheet_Main_4" xr:uid="{00000000-0004-0000-0200-00000F000000}"/>
    <hyperlink ref="H15" location="HL_Sheet_Main_4" tooltip="Go to Time Period - Assumptions" display="HL_Sheet_Main_4" xr:uid="{00000000-0004-0000-0200-000010000000}"/>
    <hyperlink ref="F16" location="HL_Sheet_Main_63" tooltip="Go to Financial - Assumptions" display="HL_Sheet_Main_63" xr:uid="{00000000-0004-0000-0200-000011000000}"/>
    <hyperlink ref="H16" location="HL_Sheet_Main_63" tooltip="Go to Financial - Assumptions" display="HL_Sheet_Main_63" xr:uid="{00000000-0004-0000-0200-000012000000}"/>
    <hyperlink ref="F17" location="HL_Sheet_Main_22" tooltip="Go to Labels - (For Customizing this Tool)" display="HL_Sheet_Main_22" xr:uid="{00000000-0004-0000-0200-000013000000}"/>
    <hyperlink ref="H17" location="HL_Sheet_Main_22" tooltip="Go to Labels - (For Customizing this Tool)" display="HL_Sheet_Main_22" xr:uid="{00000000-0004-0000-0200-000014000000}"/>
    <hyperlink ref="F18" location="HL_Sheet_Main_21" tooltip="Go to Target Populations and Coverage Estimates" display="HL_Sheet_Main_21" xr:uid="{00000000-0004-0000-0200-000015000000}"/>
    <hyperlink ref="H18" location="HL_Sheet_Main_21" tooltip="Go to Target Populations and Coverage Estimates" display="HL_Sheet_Main_21" xr:uid="{00000000-0004-0000-0200-000016000000}"/>
    <hyperlink ref="H19" location="HL_TOC_21" tooltip="Go to Input - Target Population Estimates" display="HL_TOC_21" xr:uid="{00000000-0004-0000-0200-000017000000}"/>
    <hyperlink ref="I19" location="HL_TOC_21" tooltip="Go to Input - Target Population Estimates" display="HL_TOC_21" xr:uid="{00000000-0004-0000-0200-000018000000}"/>
    <hyperlink ref="H20" location="HL_TOC_30" tooltip="Go to Input - Coverage Estimates" display="HL_TOC_30" xr:uid="{00000000-0004-0000-0200-000019000000}"/>
    <hyperlink ref="I20" location="HL_TOC_30" tooltip="Go to Input - Coverage Estimates" display="HL_TOC_30" xr:uid="{00000000-0004-0000-0200-00001A000000}"/>
    <hyperlink ref="H21" location="HL_TOC_32" tooltip="Go to Number Targeted for Vaccination - by Target Population Group" display="HL_TOC_32" xr:uid="{00000000-0004-0000-0200-00001B000000}"/>
    <hyperlink ref="I21" location="HL_TOC_32" tooltip="Go to Number Targeted for Vaccination - by Target Population Group" display="HL_TOC_32" xr:uid="{00000000-0004-0000-0200-00001C000000}"/>
    <hyperlink ref="F22" location="HL_Sheet_Main_57" tooltip="Go to Microplanning Estimates" display="HL_Sheet_Main_57" xr:uid="{00000000-0004-0000-0200-00001D000000}"/>
    <hyperlink ref="H22" location="HL_Sheet_Main_57" tooltip="Go to Microplanning Estimates" display="HL_Sheet_Main_57" xr:uid="{00000000-0004-0000-0200-00001E000000}"/>
    <hyperlink ref="F23" location="HL_Sheet_Main_61" tooltip="Go to Procurement Estimates" display="HL_Sheet_Main_61" xr:uid="{00000000-0004-0000-0200-00001F000000}"/>
    <hyperlink ref="H23" location="HL_Sheet_Main_61" tooltip="Go to Procurement Estimates" display="HL_Sheet_Main_61" xr:uid="{00000000-0004-0000-0200-000020000000}"/>
    <hyperlink ref="F24" location="HL_Sheet_Main_17" tooltip="Go to Distribution Estimates" display="HL_Sheet_Main_17" xr:uid="{00000000-0004-0000-0200-000021000000}"/>
    <hyperlink ref="H24" location="HL_Sheet_Main_17" tooltip="Go to Distribution Estimates" display="HL_Sheet_Main_17" xr:uid="{00000000-0004-0000-0200-000022000000}"/>
    <hyperlink ref="F25" location="HL_Sheet_Main_5" tooltip="Go to Training" display="HL_Sheet_Main_5" xr:uid="{00000000-0004-0000-0200-000023000000}"/>
    <hyperlink ref="H25" location="HL_Sheet_Main_5" tooltip="Go to Training" display="HL_Sheet_Main_5" xr:uid="{00000000-0004-0000-0200-000024000000}"/>
    <hyperlink ref="F26" location="HL_Sheet_Main_20" tooltip="Go to Social Mobilisation / IEC - Estimates" display="HL_Sheet_Main_20" xr:uid="{00000000-0004-0000-0200-000025000000}"/>
    <hyperlink ref="H26" location="HL_Sheet_Main_20" tooltip="Go to Social Mobilisation / IEC - Estimates" display="HL_Sheet_Main_20" xr:uid="{00000000-0004-0000-0200-000026000000}"/>
    <hyperlink ref="F27" location="HL_Sheet_Main_67" tooltip="Go to Service Delivery - Immunization Activities" display="HL_Sheet_Main_67" xr:uid="{00000000-0004-0000-0200-000027000000}"/>
    <hyperlink ref="H27" location="HL_Sheet_Main_67" tooltip="Go to Service Delivery - Immunization Activities" display="HL_Sheet_Main_67" xr:uid="{00000000-0004-0000-0200-000028000000}"/>
    <hyperlink ref="F28" location="HL_Sheet_Main_23" tooltip="Go to Supervision, Monitoring and Evaluation - Estimates" display="HL_Sheet_Main_23" xr:uid="{00000000-0004-0000-0200-000029000000}"/>
    <hyperlink ref="H28" location="HL_Sheet_Main_23" tooltip="Go to Supervision, Monitoring and Evaluation - Estimates" display="HL_Sheet_Main_23" xr:uid="{00000000-0004-0000-0200-00002A000000}"/>
    <hyperlink ref="F29" location="HL_Sheet_Main_25" tooltip="Go to Other Activities - Estimates" display="HL_Sheet_Main_25" xr:uid="{00000000-0004-0000-0200-00002B000000}"/>
    <hyperlink ref="H29" location="HL_Sheet_Main_25" tooltip="Go to Other Activities - Estimates" display="HL_Sheet_Main_25" xr:uid="{00000000-0004-0000-0200-00002C000000}"/>
    <hyperlink ref="F30" location="HL_Sheet_Main_11" tooltip="Go to Cold Chain Expansion" display="HL_Sheet_Main_11" xr:uid="{00000000-0004-0000-0200-00002D000000}"/>
    <hyperlink ref="H30" location="HL_Sheet_Main_11" tooltip="Go to Cold Chain Expansion" display="HL_Sheet_Main_11" xr:uid="{00000000-0004-0000-0200-00002E000000}"/>
    <hyperlink ref="B31" location="HL_Sheet_Main_3" tooltip="Go to Detailed  Costing Assumptions Worksheets (Optional)" display="HL_Sheet_Main_3" xr:uid="{00000000-0004-0000-0200-00002F000000}"/>
    <hyperlink ref="D31" location="HL_Sheet_Main_3" tooltip="Go to Detailed  Costing Assumptions Worksheets (Optional)" display="HL_Sheet_Main_3" xr:uid="{00000000-0004-0000-0200-000030000000}"/>
    <hyperlink ref="F32" location="HL_Sheet_Main_41" tooltip="Go to Detailed Microplanning Cost Estimate Worksheet" display="HL_Sheet_Main_41" xr:uid="{00000000-0004-0000-0200-000031000000}"/>
    <hyperlink ref="H32" location="HL_Sheet_Main_41" tooltip="Go to Detailed Microplanning Cost Estimate Worksheet" display="HL_Sheet_Main_41" xr:uid="{00000000-0004-0000-0200-000032000000}"/>
    <hyperlink ref="F33" location="HL_Sheet_Main_24" tooltip="Go to Detailed Distribution Costs Estimates" display="HL_Sheet_Main_24" xr:uid="{00000000-0004-0000-0200-000033000000}"/>
    <hyperlink ref="H33" location="HL_Sheet_Main_24" tooltip="Go to Detailed Distribution Costs Estimates" display="HL_Sheet_Main_24" xr:uid="{00000000-0004-0000-0200-000034000000}"/>
    <hyperlink ref="F34" location="HL_Sheet_Main_10" tooltip="Go to Detailed Preparatory Training Cost Estimate Worksheet" display="HL_Sheet_Main_10" xr:uid="{00000000-0004-0000-0200-000035000000}"/>
    <hyperlink ref="H34" location="HL_Sheet_Main_10" tooltip="Go to Detailed Preparatory Training Cost Estimate Worksheet" display="HL_Sheet_Main_10" xr:uid="{00000000-0004-0000-0200-000036000000}"/>
    <hyperlink ref="F35" location="HL_Sheet_Main_6" tooltip="Go to Detailed Social Mobilization  and Communication Cost Estimate Worksheet" display="HL_Sheet_Main_6" xr:uid="{00000000-0004-0000-0200-000037000000}"/>
    <hyperlink ref="H35" location="HL_Sheet_Main_6" tooltip="Go to Detailed Social Mobilization  and Communication Cost Estimate Worksheet" display="HL_Sheet_Main_6" xr:uid="{00000000-0004-0000-0200-000038000000}"/>
    <hyperlink ref="F36" location="HL_Sheet_Main_30" tooltip="Go to Detailed Supervision Cost Estimate Worksheet" display="HL_Sheet_Main_30" xr:uid="{00000000-0004-0000-0200-000039000000}"/>
    <hyperlink ref="H36" location="HL_Sheet_Main_30" tooltip="Go to Detailed Supervision Cost Estimate Worksheet" display="HL_Sheet_Main_30" xr:uid="{00000000-0004-0000-0200-00003A000000}"/>
    <hyperlink ref="F37" location="HL_Sheet_Main_19" tooltip="Go to Detailed Routine Vaccination Add-on Cost Estimate Worksheet" display="HL_Sheet_Main_19" xr:uid="{00000000-0004-0000-0200-00003B000000}"/>
    <hyperlink ref="H37" location="HL_Sheet_Main_19" tooltip="Go to Detailed Routine Vaccination Add-on Cost Estimate Worksheet" display="HL_Sheet_Main_19" xr:uid="{00000000-0004-0000-0200-00003C000000}"/>
    <hyperlink ref="F38" location="HL_Sheet_Main_33" tooltip="Go to Detailed Special Immunization Activities Cost Estimate Worksheet" display="HL_Sheet_Main_33" xr:uid="{00000000-0004-0000-0200-00003D000000}"/>
    <hyperlink ref="H38" location="HL_Sheet_Main_33" tooltip="Go to Detailed Special Immunization Activities Cost Estimate Worksheet" display="HL_Sheet_Main_33" xr:uid="{00000000-0004-0000-0200-00003E000000}"/>
    <hyperlink ref="F39" location="HL_Sheet_Main_34" tooltip="Go to Detailed Other Activities Cost Estimate Worksheet" display="HL_Sheet_Main_34" xr:uid="{00000000-0004-0000-0200-00003F000000}"/>
    <hyperlink ref="H39" location="HL_Sheet_Main_34" tooltip="Go to Detailed Other Activities Cost Estimate Worksheet" display="HL_Sheet_Main_34" xr:uid="{00000000-0004-0000-0200-000040000000}"/>
    <hyperlink ref="B40" location="HL_Sheet_Main_7" tooltip="Go to Appendices" display="HL_Sheet_Main_7" xr:uid="{00000000-0004-0000-0200-000041000000}"/>
    <hyperlink ref="D40" location="HL_Sheet_Main_7" tooltip="Go to Appendices" display="HL_Sheet_Main_7" xr:uid="{00000000-0004-0000-0200-000042000000}"/>
    <hyperlink ref="F41" location="HL_Sheet_Main_37" tooltip="Go to Reference Data" display="HL_Sheet_Main_37" xr:uid="{00000000-0004-0000-0200-000043000000}"/>
    <hyperlink ref="H41" location="HL_Sheet_Main_37" tooltip="Go to Reference Data" display="HL_Sheet_Main_37" xr:uid="{00000000-0004-0000-0200-000044000000}"/>
    <hyperlink ref="F42" location="HL_Sheet_Main_28" tooltip="Go to Cost Ingredients" display="HL_Sheet_Main_28" xr:uid="{00000000-0004-0000-0200-000045000000}"/>
    <hyperlink ref="H42" location="HL_Sheet_Main_28" tooltip="Go to Cost Ingredients" display="HL_Sheet_Main_28" xr:uid="{00000000-0004-0000-0200-000046000000}"/>
    <hyperlink ref="D43" location="HL_Sheet_Main_47" tooltip="Go to Model Documentation" display="HL_Sheet_Main_47" xr:uid="{00000000-0004-0000-0200-000047000000}"/>
    <hyperlink ref="F43" location="HL_Sheet_Main_47" tooltip="Go to Model Documentation" display="HL_Sheet_Main_47" xr:uid="{00000000-0004-0000-0200-000048000000}"/>
    <hyperlink ref="F44" location="HL_Sheet_Main_31" tooltip="Go to About this Tool" display="HL_Sheet_Main_31" xr:uid="{00000000-0004-0000-0200-000049000000}"/>
    <hyperlink ref="H44" location="HL_Sheet_Main_31" tooltip="Go to About this Tool" display="HL_Sheet_Main_31" xr:uid="{00000000-0004-0000-0200-00004A000000}"/>
    <hyperlink ref="F45" location="HL_Sheet_Main_51" tooltip="Go to About Seasonal Influenza" display="HL_Sheet_Main_51" xr:uid="{00000000-0004-0000-0200-00004B000000}"/>
    <hyperlink ref="H45" location="HL_Sheet_Main_51" tooltip="Go to About Seasonal Influenza" display="HL_Sheet_Main_51" xr:uid="{00000000-0004-0000-0200-00004C000000}"/>
    <hyperlink ref="D46" location="HL_Sheet_Main_48" tooltip="Go to Lookup Tables" display="HL_Sheet_Main_48" xr:uid="{00000000-0004-0000-0200-00004D000000}"/>
    <hyperlink ref="F46" location="HL_Sheet_Main_48" tooltip="Go to Lookup Tables" display="HL_Sheet_Main_48" xr:uid="{00000000-0004-0000-0200-00004E000000}"/>
    <hyperlink ref="F47" location="HL_Sheet_Main_9" tooltip="Go to Time Series Lookup Tables" display="HL_Sheet_Main_9" xr:uid="{00000000-0004-0000-0200-00004F000000}"/>
    <hyperlink ref="H47" location="HL_Sheet_Main_9" tooltip="Go to Time Series Lookup Tables" display="HL_Sheet_Main_9" xr:uid="{00000000-0004-0000-0200-000050000000}"/>
    <hyperlink ref="F48" location="HL_Sheet_Main_27" tooltip="Go to LOOK UP TABLES" display="HL_Sheet_Main_27" xr:uid="{00000000-0004-0000-0200-000051000000}"/>
    <hyperlink ref="H48" location="HL_Sheet_Main_27" tooltip="Go to LOOK UP TABLES" display="HL_Sheet_Main_27" xr:uid="{00000000-0004-0000-0200-000052000000}"/>
    <hyperlink ref="D49" location="HL_Sheet_Main_49" tooltip="Go to Checks" display="HL_Sheet_Main_49" xr:uid="{00000000-0004-0000-0200-000053000000}"/>
    <hyperlink ref="F49" location="HL_Sheet_Main_49" tooltip="Go to Checks" display="HL_Sheet_Main_49" xr:uid="{00000000-0004-0000-0200-000054000000}"/>
    <hyperlink ref="F50" location="HL_Sheet_Main_8" tooltip="Go to Checks" display="HL_Sheet_Main_8" xr:uid="{00000000-0004-0000-0200-000055000000}"/>
    <hyperlink ref="H50" location="HL_Sheet_Main_8" tooltip="Go to Checks" display="HL_Sheet_Main_8" xr:uid="{00000000-0004-0000-0200-000056000000}"/>
    <hyperlink ref="H51" location="HL_TOC_1" tooltip="Go to Error Checks" display="HL_TOC_1" xr:uid="{00000000-0004-0000-0200-000057000000}"/>
    <hyperlink ref="I51" location="HL_TOC_1" tooltip="Go to Error Checks" display="HL_TOC_1" xr:uid="{00000000-0004-0000-0200-000058000000}"/>
    <hyperlink ref="H52" location="HL_TOC_2" tooltip="Go to Sensitivity Checks" display="HL_TOC_2" xr:uid="{00000000-0004-0000-0200-000059000000}"/>
    <hyperlink ref="I52" location="HL_TOC_2" tooltip="Go to Sensitivity Checks" display="HL_TOC_2" xr:uid="{00000000-0004-0000-0200-00005A000000}"/>
    <hyperlink ref="H53" location="HL_TOC_3" tooltip="Go to Alert Checks" display="HL_TOC_3" xr:uid="{00000000-0004-0000-0200-00005B000000}"/>
    <hyperlink ref="I53" location="HL_TOC_3" tooltip="Go to Alert Checks" display="HL_TOC_3" xr:uid="{00000000-0004-0000-0200-00005C000000}"/>
    <hyperlink ref="B3" location="'Cover'!A1" tooltip="Go to Cover Sheet" display="'Cover'!A1" xr:uid="{00000000-0004-0000-0200-00005D000000}"/>
  </hyperlinks>
  <pageMargins left="0.4" right="0.4" top="0.6" bottom="1" header="0" footer="0.3"/>
  <pageSetup orientation="landscape" horizontalDpi="4294967292" verticalDpi="0" r:id="rId1"/>
  <customProperties>
    <customPr name="LastActive" r:id="rId2"/>
  </customProperties>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indexed="12"/>
    <pageSetUpPr autoPageBreaks="0"/>
  </sheetPr>
  <dimension ref="A1:N431"/>
  <sheetViews>
    <sheetView showGridLines="0" zoomScaleNormal="100" workbookViewId="0">
      <pane xSplit="1" ySplit="9" topLeftCell="B403" activePane="bottomRight" state="frozenSplit"/>
      <selection pane="topRight" activeCell="B1" sqref="B1"/>
      <selection pane="bottomLeft"/>
      <selection pane="bottomRight" activeCell="L345" sqref="L344:L345"/>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4" width="15.6640625" style="134" customWidth="1"/>
    <col min="15" max="16384" width="11.6640625" style="134"/>
  </cols>
  <sheetData>
    <row r="1" spans="1:14" ht="21">
      <c r="B1" s="46" t="s">
        <v>590</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ht="17.399999999999999">
      <c r="B12" s="15" t="s">
        <v>588</v>
      </c>
    </row>
    <row r="13" spans="1:14" s="23" customFormat="1"/>
    <row r="14" spans="1:14" s="23" customFormat="1" ht="15.6">
      <c r="C14" s="111" t="s">
        <v>589</v>
      </c>
    </row>
    <row r="15" spans="1:14" s="23" customFormat="1"/>
    <row r="16" spans="1:14" s="23" customFormat="1">
      <c r="C16" s="250" t="s">
        <v>577</v>
      </c>
      <c r="D16" s="152" t="s">
        <v>576</v>
      </c>
    </row>
    <row r="17" spans="2:10" s="23" customFormat="1">
      <c r="F17" s="152" t="s">
        <v>444</v>
      </c>
      <c r="G17" s="152" t="s">
        <v>600</v>
      </c>
    </row>
    <row r="18" spans="2:10" s="23" customFormat="1">
      <c r="F18" s="151" t="s">
        <v>591</v>
      </c>
      <c r="G18" s="742" t="s">
        <v>678</v>
      </c>
      <c r="H18" s="742"/>
      <c r="I18" s="742"/>
    </row>
    <row r="19" spans="2:10" s="23" customFormat="1">
      <c r="F19" s="151" t="s">
        <v>606</v>
      </c>
      <c r="G19" s="742" t="s">
        <v>678</v>
      </c>
      <c r="H19" s="742"/>
      <c r="I19" s="742"/>
    </row>
    <row r="20" spans="2:10" s="23" customFormat="1">
      <c r="F20" s="151" t="s">
        <v>607</v>
      </c>
      <c r="G20" s="742" t="s">
        <v>678</v>
      </c>
      <c r="H20" s="742"/>
      <c r="I20" s="742"/>
    </row>
    <row r="21" spans="2:10" s="23" customFormat="1"/>
    <row r="22" spans="2:10" s="23" customFormat="1">
      <c r="C22" s="250" t="s">
        <v>578</v>
      </c>
      <c r="D22" s="152" t="s">
        <v>832</v>
      </c>
    </row>
    <row r="23" spans="2:10" s="23" customFormat="1">
      <c r="F23" s="152" t="s">
        <v>444</v>
      </c>
      <c r="G23" s="152" t="s">
        <v>600</v>
      </c>
    </row>
    <row r="24" spans="2:10" s="23" customFormat="1">
      <c r="F24" s="151" t="s">
        <v>787</v>
      </c>
      <c r="G24" s="667" t="s">
        <v>783</v>
      </c>
      <c r="H24" s="667"/>
      <c r="I24" s="667"/>
    </row>
    <row r="25" spans="2:10" s="23" customFormat="1">
      <c r="F25" s="151" t="s">
        <v>788</v>
      </c>
      <c r="G25" s="667" t="s">
        <v>783</v>
      </c>
      <c r="H25" s="667"/>
      <c r="I25" s="667"/>
    </row>
    <row r="26" spans="2:10" s="23" customFormat="1">
      <c r="F26" s="151" t="s">
        <v>592</v>
      </c>
      <c r="G26" s="667" t="s">
        <v>683</v>
      </c>
      <c r="H26" s="667"/>
      <c r="I26" s="667"/>
    </row>
    <row r="27" spans="2:10" s="23" customFormat="1"/>
    <row r="28" spans="2:10" s="23" customFormat="1">
      <c r="B28" s="20"/>
      <c r="C28" s="20"/>
      <c r="D28" s="20"/>
      <c r="E28" s="20"/>
      <c r="F28" s="20"/>
      <c r="G28" s="20"/>
      <c r="H28" s="20"/>
      <c r="I28" s="20"/>
      <c r="J28" s="20"/>
    </row>
    <row r="29" spans="2:10" s="23" customFormat="1"/>
    <row r="30" spans="2:10" s="23" customFormat="1" ht="17.399999999999999">
      <c r="B30" s="81" t="str">
        <f>"1a. "&amp;FLU_LU!$D$348</f>
        <v>1a. Routine Immunization by a Facility Nurse</v>
      </c>
    </row>
    <row r="31" spans="2:10" s="23" customFormat="1"/>
    <row r="32" spans="2:10" s="23" customFormat="1">
      <c r="C32" s="152" t="s">
        <v>497</v>
      </c>
    </row>
    <row r="33" spans="3:10" s="23" customFormat="1"/>
    <row r="34" spans="3:10" s="23" customFormat="1">
      <c r="C34" s="152" t="s">
        <v>445</v>
      </c>
      <c r="D34" s="152" t="s">
        <v>110</v>
      </c>
    </row>
    <row r="35" spans="3:10" s="23" customFormat="1" ht="72">
      <c r="E35" s="152" t="s">
        <v>100</v>
      </c>
      <c r="G35" s="152" t="s">
        <v>525</v>
      </c>
      <c r="H35" s="152" t="s">
        <v>610</v>
      </c>
      <c r="I35" s="72" t="s">
        <v>611</v>
      </c>
      <c r="J35" s="142" t="s">
        <v>278</v>
      </c>
    </row>
    <row r="36" spans="3:10" s="23" customFormat="1" outlineLevel="1">
      <c r="E36" s="160" t="str">
        <f>TGT_POPS!D111</f>
        <v>Target Group 1</v>
      </c>
      <c r="G36" s="18"/>
      <c r="H36" s="18"/>
      <c r="J36" s="18"/>
    </row>
    <row r="37" spans="3:10" s="23" customFormat="1" outlineLevel="1">
      <c r="E37" s="159" t="str">
        <f>TGT_POPS!D112</f>
        <v>Front Line Health Workers working in facilities with more than 200 workers</v>
      </c>
      <c r="G37" s="210">
        <f>TGT_POPS!J28</f>
        <v>3468</v>
      </c>
      <c r="H37" s="210">
        <f>TGT_POPS!J112</f>
        <v>1734</v>
      </c>
      <c r="I37" s="259"/>
      <c r="J37" s="210">
        <f t="shared" ref="J37:J39" si="0">H37*I37</f>
        <v>0</v>
      </c>
    </row>
    <row r="38" spans="3:10" s="23" customFormat="1" outlineLevel="1">
      <c r="E38" s="159" t="str">
        <f>TGT_POPS!D113</f>
        <v>Front Line Health Workers working in facilities with 100 to 200 workers</v>
      </c>
      <c r="G38" s="210">
        <f>TGT_POPS!J29</f>
        <v>3449</v>
      </c>
      <c r="H38" s="210">
        <f>TGT_POPS!J113</f>
        <v>2414.2999999999997</v>
      </c>
      <c r="I38" s="259"/>
      <c r="J38" s="210">
        <f t="shared" si="0"/>
        <v>0</v>
      </c>
    </row>
    <row r="39" spans="3:10" s="23" customFormat="1" outlineLevel="1">
      <c r="E39" s="159" t="str">
        <f>TGT_POPS!D114</f>
        <v>Front Line Health Workers working in facilities with fewer than 100 workers</v>
      </c>
      <c r="G39" s="209">
        <f>TGT_POPS!J30</f>
        <v>7000</v>
      </c>
      <c r="H39" s="209">
        <f>TGT_POPS!J114</f>
        <v>4900</v>
      </c>
      <c r="I39" s="259">
        <v>1</v>
      </c>
      <c r="J39" s="209">
        <f t="shared" si="0"/>
        <v>4900</v>
      </c>
    </row>
    <row r="40" spans="3:10" s="23" customFormat="1" outlineLevel="1">
      <c r="E40" s="159" t="str">
        <f>E36</f>
        <v>Target Group 1</v>
      </c>
      <c r="G40" s="195">
        <f>SUM(G37:G39)</f>
        <v>13917</v>
      </c>
      <c r="H40" s="195">
        <f>SUM(H37:H39)</f>
        <v>9048.2999999999993</v>
      </c>
      <c r="I40" s="125"/>
      <c r="J40" s="195">
        <f>SUM(J37:J39)</f>
        <v>4900</v>
      </c>
    </row>
    <row r="41" spans="3:10" s="23" customFormat="1" ht="7.5" customHeight="1" outlineLevel="1">
      <c r="G41" s="134"/>
      <c r="H41" s="134"/>
      <c r="J41" s="134"/>
    </row>
    <row r="42" spans="3:10" s="23" customFormat="1" outlineLevel="1">
      <c r="E42" s="160" t="str">
        <f>TGT_POPS!D117</f>
        <v>Target Group 2 [not in use]</v>
      </c>
      <c r="G42" s="18"/>
      <c r="H42" s="18"/>
      <c r="J42" s="18"/>
    </row>
    <row r="43" spans="3:10" s="23" customFormat="1" outlineLevel="1">
      <c r="E43" s="159">
        <f>TGT_POPS!D118</f>
        <v>0</v>
      </c>
      <c r="G43" s="210">
        <f>TGT_POPS!J34</f>
        <v>0</v>
      </c>
      <c r="H43" s="210">
        <f>TGT_POPS!J118</f>
        <v>0</v>
      </c>
      <c r="I43" s="259">
        <v>1</v>
      </c>
      <c r="J43" s="210">
        <f t="shared" ref="J43:J44" si="1">H43*I43</f>
        <v>0</v>
      </c>
    </row>
    <row r="44" spans="3:10" s="23" customFormat="1" outlineLevel="1">
      <c r="E44" s="159">
        <f>TGT_POPS!D119</f>
        <v>0</v>
      </c>
      <c r="G44" s="209">
        <f>TGT_POPS!J35</f>
        <v>0</v>
      </c>
      <c r="H44" s="209">
        <f>TGT_POPS!J119</f>
        <v>0</v>
      </c>
      <c r="I44" s="259">
        <v>0</v>
      </c>
      <c r="J44" s="209">
        <f t="shared" si="1"/>
        <v>0</v>
      </c>
    </row>
    <row r="45" spans="3:10" s="23" customFormat="1" outlineLevel="1">
      <c r="E45" s="159" t="str">
        <f>E42</f>
        <v>Target Group 2 [not in use]</v>
      </c>
      <c r="G45" s="195">
        <f>SUM(G43:G44)</f>
        <v>0</v>
      </c>
      <c r="H45" s="195">
        <f>SUM(H43:H44)</f>
        <v>0</v>
      </c>
      <c r="I45" s="125"/>
      <c r="J45" s="195">
        <f>SUM(J43:J44)</f>
        <v>0</v>
      </c>
    </row>
    <row r="46" spans="3:10" s="23" customFormat="1" ht="7.5" customHeight="1" outlineLevel="1">
      <c r="G46" s="134"/>
      <c r="H46" s="134"/>
      <c r="J46" s="134"/>
    </row>
    <row r="47" spans="3:10" s="23" customFormat="1" outlineLevel="1">
      <c r="E47" s="160" t="str">
        <f>TGT_POPS!D122</f>
        <v>Target Group 3 [not in use]</v>
      </c>
      <c r="G47" s="18"/>
      <c r="H47" s="18"/>
      <c r="J47" s="18"/>
    </row>
    <row r="48" spans="3:10" s="23" customFormat="1" outlineLevel="1">
      <c r="E48" s="159">
        <f>TGT_POPS!D123</f>
        <v>0</v>
      </c>
      <c r="G48" s="210">
        <f>TGT_POPS!J39</f>
        <v>0</v>
      </c>
      <c r="H48" s="210">
        <f>TGT_POPS!J123</f>
        <v>0</v>
      </c>
      <c r="I48" s="259">
        <v>1</v>
      </c>
      <c r="J48" s="210">
        <f t="shared" ref="J48:J49" si="2">H48*I48</f>
        <v>0</v>
      </c>
    </row>
    <row r="49" spans="3:10" s="23" customFormat="1" outlineLevel="1">
      <c r="E49" s="159">
        <f>TGT_POPS!D124</f>
        <v>0</v>
      </c>
      <c r="G49" s="209">
        <f>TGT_POPS!J40</f>
        <v>0</v>
      </c>
      <c r="H49" s="209">
        <f>TGT_POPS!J124</f>
        <v>0</v>
      </c>
      <c r="I49" s="259">
        <v>0.8</v>
      </c>
      <c r="J49" s="209">
        <f t="shared" si="2"/>
        <v>0</v>
      </c>
    </row>
    <row r="50" spans="3:10" s="23" customFormat="1" outlineLevel="1">
      <c r="E50" s="159" t="str">
        <f>E47</f>
        <v>Target Group 3 [not in use]</v>
      </c>
      <c r="G50" s="195">
        <f>SUM(G48:G49)</f>
        <v>0</v>
      </c>
      <c r="H50" s="195">
        <f>SUM(H48:H49)</f>
        <v>0</v>
      </c>
      <c r="I50" s="125"/>
      <c r="J50" s="195">
        <f>SUM(J48:J49)</f>
        <v>0</v>
      </c>
    </row>
    <row r="51" spans="3:10" s="23" customFormat="1" ht="7.5" customHeight="1" outlineLevel="1">
      <c r="G51" s="134"/>
      <c r="H51" s="134"/>
      <c r="J51" s="134"/>
    </row>
    <row r="52" spans="3:10" s="23" customFormat="1" outlineLevel="1">
      <c r="E52" s="160" t="str">
        <f>TGT_POPS!D127</f>
        <v>Target Group 4 [not in use]</v>
      </c>
      <c r="G52" s="18"/>
      <c r="H52" s="18"/>
      <c r="J52" s="18"/>
    </row>
    <row r="53" spans="3:10" s="23" customFormat="1" outlineLevel="1">
      <c r="E53" s="159">
        <f>TGT_POPS!D128</f>
        <v>0</v>
      </c>
      <c r="G53" s="210">
        <f>TGT_POPS!J44</f>
        <v>0</v>
      </c>
      <c r="H53" s="210">
        <f>TGT_POPS!J128</f>
        <v>0</v>
      </c>
      <c r="I53" s="259">
        <v>0.5</v>
      </c>
      <c r="J53" s="210">
        <f t="shared" ref="J53:J57" si="3">H53*I53</f>
        <v>0</v>
      </c>
    </row>
    <row r="54" spans="3:10" s="23" customFormat="1" outlineLevel="1">
      <c r="E54" s="159">
        <f>TGT_POPS!D129</f>
        <v>0</v>
      </c>
      <c r="G54" s="210">
        <f>TGT_POPS!J45</f>
        <v>0</v>
      </c>
      <c r="H54" s="210">
        <f>TGT_POPS!J129</f>
        <v>0</v>
      </c>
      <c r="I54" s="259">
        <v>0.5</v>
      </c>
      <c r="J54" s="210">
        <f t="shared" si="3"/>
        <v>0</v>
      </c>
    </row>
    <row r="55" spans="3:10" s="23" customFormat="1" outlineLevel="1">
      <c r="E55" s="159">
        <f>TGT_POPS!D130</f>
        <v>0</v>
      </c>
      <c r="G55" s="210">
        <f>TGT_POPS!J46</f>
        <v>0</v>
      </c>
      <c r="H55" s="210">
        <f>TGT_POPS!J130</f>
        <v>0</v>
      </c>
      <c r="I55" s="259">
        <v>0.5</v>
      </c>
      <c r="J55" s="210">
        <f t="shared" si="3"/>
        <v>0</v>
      </c>
    </row>
    <row r="56" spans="3:10" s="23" customFormat="1" outlineLevel="1">
      <c r="E56" s="159">
        <f>TGT_POPS!D131</f>
        <v>0</v>
      </c>
      <c r="G56" s="210">
        <f>TGT_POPS!J47</f>
        <v>0</v>
      </c>
      <c r="H56" s="210">
        <f>TGT_POPS!J131</f>
        <v>0</v>
      </c>
      <c r="I56" s="259">
        <v>0.5</v>
      </c>
      <c r="J56" s="210">
        <f t="shared" si="3"/>
        <v>0</v>
      </c>
    </row>
    <row r="57" spans="3:10" s="23" customFormat="1" outlineLevel="1">
      <c r="E57" s="159">
        <f>TGT_POPS!D132</f>
        <v>0</v>
      </c>
      <c r="G57" s="209">
        <f>TGT_POPS!J48</f>
        <v>0</v>
      </c>
      <c r="H57" s="209">
        <f>TGT_POPS!J132</f>
        <v>0</v>
      </c>
      <c r="I57" s="259">
        <v>1</v>
      </c>
      <c r="J57" s="209">
        <f t="shared" si="3"/>
        <v>0</v>
      </c>
    </row>
    <row r="58" spans="3:10" s="23" customFormat="1" outlineLevel="1">
      <c r="E58" s="159" t="str">
        <f>E52</f>
        <v>Target Group 4 [not in use]</v>
      </c>
      <c r="G58" s="195">
        <f>SUM(G53:G57)</f>
        <v>0</v>
      </c>
      <c r="H58" s="195">
        <f>SUM(H53:H57)</f>
        <v>0</v>
      </c>
      <c r="I58" s="125"/>
      <c r="J58" s="195">
        <f>SUM(J53:J57)</f>
        <v>0</v>
      </c>
    </row>
    <row r="59" spans="3:10" s="23" customFormat="1" ht="7.5" customHeight="1">
      <c r="G59" s="12"/>
      <c r="H59" s="12"/>
      <c r="J59" s="12"/>
    </row>
    <row r="60" spans="3:10" s="23" customFormat="1">
      <c r="E60" s="160" t="str">
        <f>TGT_POPS!D51</f>
        <v>Total Target_Populations</v>
      </c>
      <c r="G60" s="255">
        <f>SUM(G40,G45,G50,G58)</f>
        <v>13917</v>
      </c>
      <c r="H60" s="255">
        <f>SUM(H40,H45,H50,H58)</f>
        <v>9048.2999999999993</v>
      </c>
      <c r="I60" s="256">
        <f>SUM(I40,I45,I50,I58)</f>
        <v>0</v>
      </c>
      <c r="J60" s="255">
        <f>SUM(J40,J45,J50,J58)</f>
        <v>4900</v>
      </c>
    </row>
    <row r="61" spans="3:10" s="23" customFormat="1"/>
    <row r="62" spans="3:10" s="23" customFormat="1">
      <c r="C62" s="152" t="s">
        <v>483</v>
      </c>
      <c r="D62" s="152" t="s">
        <v>596</v>
      </c>
      <c r="J62" s="115">
        <v>1</v>
      </c>
    </row>
    <row r="63" spans="3:10" s="23" customFormat="1"/>
    <row r="64" spans="3:10" s="23" customFormat="1">
      <c r="C64" s="152" t="s">
        <v>487</v>
      </c>
      <c r="D64" s="152" t="s">
        <v>496</v>
      </c>
    </row>
    <row r="65" spans="3:10" s="23" customFormat="1"/>
    <row r="66" spans="3:10" s="23" customFormat="1" ht="57.6">
      <c r="C66" s="94" t="s">
        <v>194</v>
      </c>
      <c r="D66" s="111" t="s">
        <v>440</v>
      </c>
      <c r="G66" s="152" t="s">
        <v>117</v>
      </c>
      <c r="H66" s="72" t="s">
        <v>476</v>
      </c>
      <c r="J66" s="72" t="s">
        <v>477</v>
      </c>
    </row>
    <row r="67" spans="3:10" s="23" customFormat="1">
      <c r="G67" s="31">
        <v>1</v>
      </c>
    </row>
    <row r="68" spans="3:10" s="23" customFormat="1">
      <c r="F68" s="152" t="s">
        <v>189</v>
      </c>
      <c r="H68" s="241">
        <f ca="1">IF(G67=2,SD_ROUTINE_BA!L88,SD_ROUTINE_BA!N88)</f>
        <v>0</v>
      </c>
      <c r="I68" s="143" t="str">
        <f ca="1">OFFSET(FLU_LU!$D$77,G67,0)</f>
        <v>USD</v>
      </c>
      <c r="J68" s="117">
        <v>0</v>
      </c>
    </row>
    <row r="69" spans="3:10" s="23" customFormat="1">
      <c r="F69" s="152" t="s">
        <v>190</v>
      </c>
      <c r="H69" s="241">
        <f ca="1">IF(G67=2,SD_ROUTINE_BA!M88,SD_ROUTINE_BA!O88)</f>
        <v>0.27892045454545455</v>
      </c>
      <c r="I69" s="143" t="str">
        <f ca="1">OFFSET(FLU_LU!$D$77,G67,0)</f>
        <v>USD</v>
      </c>
      <c r="J69" s="117">
        <v>0.33</v>
      </c>
    </row>
    <row r="70" spans="3:10" s="23" customFormat="1"/>
    <row r="71" spans="3:10" s="23" customFormat="1">
      <c r="D71" s="716" t="str">
        <f>"Go to "&amp;HL_FLU_Routine_Vacc_Cost_Ass</f>
        <v>Go to Detailed Routine Vaccination Add-on Cost Assumptions - Worksheet</v>
      </c>
      <c r="E71" s="716"/>
      <c r="F71" s="716"/>
      <c r="H71" s="152" t="s">
        <v>478</v>
      </c>
    </row>
    <row r="72" spans="3:10" s="23" customFormat="1"/>
    <row r="73" spans="3:10" s="23" customFormat="1" ht="15.6">
      <c r="D73" s="111" t="s">
        <v>480</v>
      </c>
    </row>
    <row r="74" spans="3:10" s="23" customFormat="1">
      <c r="F74" s="667" t="s">
        <v>564</v>
      </c>
      <c r="G74" s="667"/>
      <c r="H74" s="667"/>
      <c r="I74" s="667"/>
    </row>
    <row r="75" spans="3:10" s="23" customFormat="1">
      <c r="F75" s="667"/>
      <c r="G75" s="667"/>
      <c r="H75" s="667"/>
      <c r="I75" s="667"/>
    </row>
    <row r="76" spans="3:10" s="23" customFormat="1">
      <c r="F76" s="667"/>
      <c r="G76" s="667"/>
      <c r="H76" s="667"/>
      <c r="I76" s="667"/>
    </row>
    <row r="77" spans="3:10">
      <c r="F77" s="667"/>
      <c r="G77" s="667"/>
      <c r="H77" s="667"/>
      <c r="I77" s="667"/>
    </row>
    <row r="79" spans="3:10" s="23" customFormat="1">
      <c r="C79" s="152" t="s">
        <v>202</v>
      </c>
    </row>
    <row r="80" spans="3:10" s="23" customFormat="1" ht="15" thickBot="1"/>
    <row r="81" spans="2:10" ht="16.2" thickBot="1">
      <c r="D81" s="111" t="s">
        <v>605</v>
      </c>
      <c r="G81" s="738" t="s">
        <v>609</v>
      </c>
      <c r="H81" s="738"/>
      <c r="J81" s="264">
        <f>J60/J62</f>
        <v>4900</v>
      </c>
    </row>
    <row r="82" spans="2:10">
      <c r="G82" s="739" t="s">
        <v>608</v>
      </c>
      <c r="H82" s="739"/>
      <c r="J82" s="23"/>
    </row>
    <row r="83" spans="2:10" s="23" customFormat="1"/>
    <row r="84" spans="2:10" ht="15.6">
      <c r="D84" s="111" t="s">
        <v>499</v>
      </c>
    </row>
    <row r="85" spans="2:10" s="23" customFormat="1"/>
    <row r="87" spans="2:10">
      <c r="F87" s="155" t="str">
        <f>"Total Cost ("&amp;FLU_LU!$D$78&amp;")"</f>
        <v>Total Cost (USD)</v>
      </c>
      <c r="J87" s="23"/>
    </row>
    <row r="88" spans="2:10">
      <c r="I88" s="68" t="s">
        <v>166</v>
      </c>
      <c r="J88" s="343">
        <f>IF(G67=1,J68*J81,(J68*J81)/FLU_XCHANGE_YR1)</f>
        <v>0</v>
      </c>
    </row>
    <row r="89" spans="2:10">
      <c r="I89" s="68" t="s">
        <v>167</v>
      </c>
      <c r="J89" s="343">
        <f>IF(G67=1,J69*J81,(J69*J81/FLU_XCHANGE_YR1))</f>
        <v>1617</v>
      </c>
    </row>
    <row r="91" spans="2:10">
      <c r="F91" s="155" t="str">
        <f>"Total Cost ("&amp;FLU_LU!$D$79&amp;")"</f>
        <v>Total Cost (GOZ)</v>
      </c>
      <c r="I91" s="68" t="s">
        <v>166</v>
      </c>
      <c r="J91" s="95">
        <f>IF(G67=2,J68*J81,(J68*J81)*FLU_XCHANGE_YR1)</f>
        <v>0</v>
      </c>
    </row>
    <row r="92" spans="2:10">
      <c r="I92" s="68" t="s">
        <v>167</v>
      </c>
      <c r="J92" s="95">
        <f>IF(G67=2,J69*J81,(J69*J81)*FLU_XCHANGE_YR1)</f>
        <v>242550</v>
      </c>
    </row>
    <row r="94" spans="2:10" ht="15" thickBot="1">
      <c r="B94" s="55"/>
      <c r="C94" s="55"/>
      <c r="D94" s="55"/>
      <c r="E94" s="55"/>
      <c r="F94" s="55"/>
      <c r="G94" s="55"/>
      <c r="H94" s="55"/>
      <c r="I94" s="55"/>
      <c r="J94" s="55"/>
    </row>
    <row r="96" spans="2:10" s="23" customFormat="1"/>
    <row r="97" spans="2:10" s="23" customFormat="1" ht="17.399999999999999">
      <c r="B97" s="81" t="str">
        <f>"1b. "&amp;FLU_LU!$D$349</f>
        <v>1b. Routine Immunization by an Home Visit Nurse</v>
      </c>
    </row>
    <row r="98" spans="2:10" s="23" customFormat="1"/>
    <row r="99" spans="2:10" s="23" customFormat="1">
      <c r="C99" s="152" t="s">
        <v>497</v>
      </c>
    </row>
    <row r="100" spans="2:10" s="23" customFormat="1"/>
    <row r="101" spans="2:10" s="23" customFormat="1">
      <c r="C101" s="152" t="s">
        <v>445</v>
      </c>
      <c r="D101" s="152" t="s">
        <v>110</v>
      </c>
    </row>
    <row r="102" spans="2:10" s="23" customFormat="1" ht="57.6">
      <c r="E102" s="152" t="s">
        <v>100</v>
      </c>
      <c r="G102" s="152" t="s">
        <v>525</v>
      </c>
      <c r="H102" s="152" t="s">
        <v>594</v>
      </c>
      <c r="I102" s="72" t="s">
        <v>595</v>
      </c>
      <c r="J102" s="142" t="s">
        <v>278</v>
      </c>
    </row>
    <row r="103" spans="2:10" s="23" customFormat="1">
      <c r="E103" s="160" t="str">
        <f>TGT_POPS!D111</f>
        <v>Target Group 1</v>
      </c>
      <c r="G103" s="18"/>
      <c r="H103" s="18"/>
      <c r="J103" s="18"/>
    </row>
    <row r="104" spans="2:10" s="23" customFormat="1">
      <c r="E104" s="159" t="str">
        <f>TGT_POPS!D28</f>
        <v>Front Line Health Workers working in facilities with more than 200 workers</v>
      </c>
      <c r="G104" s="210">
        <f>TGT_POPS!J28</f>
        <v>3468</v>
      </c>
      <c r="H104" s="210">
        <f>TGT_POPS!J112</f>
        <v>1734</v>
      </c>
      <c r="I104" s="259">
        <v>0</v>
      </c>
      <c r="J104" s="210">
        <f t="shared" ref="J104:J106" si="4">H104*I104</f>
        <v>0</v>
      </c>
    </row>
    <row r="105" spans="2:10" s="23" customFormat="1">
      <c r="E105" s="159" t="str">
        <f>TGT_POPS!D29</f>
        <v>Front Line Health Workers working in facilities with 100 to 200 workers</v>
      </c>
      <c r="G105" s="210">
        <f>TGT_POPS!J29</f>
        <v>3449</v>
      </c>
      <c r="H105" s="210">
        <f>TGT_POPS!J113</f>
        <v>2414.2999999999997</v>
      </c>
      <c r="I105" s="259">
        <v>0</v>
      </c>
      <c r="J105" s="210">
        <f t="shared" si="4"/>
        <v>0</v>
      </c>
    </row>
    <row r="106" spans="2:10" s="23" customFormat="1">
      <c r="E106" s="159" t="str">
        <f>TGT_POPS!D30</f>
        <v>Front Line Health Workers working in facilities with fewer than 100 workers</v>
      </c>
      <c r="G106" s="209">
        <f>TGT_POPS!J30</f>
        <v>7000</v>
      </c>
      <c r="H106" s="209">
        <f>TGT_POPS!J114</f>
        <v>4900</v>
      </c>
      <c r="I106" s="259">
        <v>0</v>
      </c>
      <c r="J106" s="209">
        <f t="shared" si="4"/>
        <v>0</v>
      </c>
    </row>
    <row r="107" spans="2:10" s="23" customFormat="1">
      <c r="E107" s="253" t="str">
        <f>E103</f>
        <v>Target Group 1</v>
      </c>
      <c r="G107" s="195">
        <f>SUM(G104:G106)</f>
        <v>13917</v>
      </c>
      <c r="H107" s="195">
        <f>SUM(H104:H106)</f>
        <v>9048.2999999999993</v>
      </c>
      <c r="I107" s="254">
        <f>SUM(I104:I106)</f>
        <v>0</v>
      </c>
      <c r="J107" s="167">
        <f>SUM(J104:J106)</f>
        <v>0</v>
      </c>
    </row>
    <row r="108" spans="2:10" s="23" customFormat="1" ht="7.5" customHeight="1">
      <c r="G108" s="134"/>
      <c r="H108" s="134"/>
      <c r="J108" s="134"/>
    </row>
    <row r="109" spans="2:10" s="23" customFormat="1">
      <c r="E109" s="160" t="str">
        <f>TGT_POPS!D117</f>
        <v>Target Group 2 [not in use]</v>
      </c>
      <c r="G109" s="18"/>
      <c r="H109" s="18"/>
      <c r="J109" s="18"/>
    </row>
    <row r="110" spans="2:10" s="23" customFormat="1">
      <c r="E110" s="159">
        <f>TGT_POPS!D34</f>
        <v>0</v>
      </c>
      <c r="G110" s="210">
        <f>TGT_POPS!J34</f>
        <v>0</v>
      </c>
      <c r="H110" s="210">
        <f>TGT_POPS!J118</f>
        <v>0</v>
      </c>
      <c r="I110" s="259">
        <v>0</v>
      </c>
      <c r="J110" s="210">
        <f t="shared" ref="J110:J111" si="5">H110*I110</f>
        <v>0</v>
      </c>
    </row>
    <row r="111" spans="2:10" s="23" customFormat="1">
      <c r="E111" s="159">
        <f>TGT_POPS!D35</f>
        <v>0</v>
      </c>
      <c r="G111" s="209">
        <f>TGT_POPS!J35</f>
        <v>0</v>
      </c>
      <c r="H111" s="209">
        <f>TGT_POPS!J119</f>
        <v>0</v>
      </c>
      <c r="I111" s="259">
        <v>0.5</v>
      </c>
      <c r="J111" s="209">
        <f t="shared" si="5"/>
        <v>0</v>
      </c>
    </row>
    <row r="112" spans="2:10" s="23" customFormat="1">
      <c r="E112" s="253" t="str">
        <f>E109</f>
        <v>Target Group 2 [not in use]</v>
      </c>
      <c r="G112" s="195">
        <f>SUM(G110:G111)</f>
        <v>0</v>
      </c>
      <c r="H112" s="195">
        <f>SUM(H110:H111)</f>
        <v>0</v>
      </c>
      <c r="I112" s="254">
        <f>SUM(I110:I111)</f>
        <v>0.5</v>
      </c>
      <c r="J112" s="167">
        <f>SUM(J110:J111)</f>
        <v>0</v>
      </c>
    </row>
    <row r="113" spans="5:10" s="23" customFormat="1" ht="7.5" customHeight="1">
      <c r="G113" s="134"/>
      <c r="H113" s="134"/>
      <c r="J113" s="134"/>
    </row>
    <row r="114" spans="5:10" s="23" customFormat="1">
      <c r="E114" s="160" t="str">
        <f>TGT_POPS!D122</f>
        <v>Target Group 3 [not in use]</v>
      </c>
      <c r="G114" s="18"/>
      <c r="H114" s="18"/>
      <c r="J114" s="18"/>
    </row>
    <row r="115" spans="5:10" s="23" customFormat="1">
      <c r="E115" s="159">
        <f>TGT_POPS!D39</f>
        <v>0</v>
      </c>
      <c r="G115" s="210">
        <f>TGT_POPS!J39</f>
        <v>0</v>
      </c>
      <c r="H115" s="210">
        <f>TGT_POPS!J123</f>
        <v>0</v>
      </c>
      <c r="I115" s="259">
        <v>0</v>
      </c>
      <c r="J115" s="210">
        <f t="shared" ref="J115:J116" si="6">H115*I115</f>
        <v>0</v>
      </c>
    </row>
    <row r="116" spans="5:10" s="23" customFormat="1">
      <c r="E116" s="159">
        <f>TGT_POPS!D40</f>
        <v>0</v>
      </c>
      <c r="G116" s="209">
        <f>TGT_POPS!J40</f>
        <v>0</v>
      </c>
      <c r="H116" s="209">
        <f>TGT_POPS!J124</f>
        <v>0</v>
      </c>
      <c r="I116" s="259">
        <v>0</v>
      </c>
      <c r="J116" s="209">
        <f t="shared" si="6"/>
        <v>0</v>
      </c>
    </row>
    <row r="117" spans="5:10" s="23" customFormat="1">
      <c r="E117" s="253" t="str">
        <f>E114</f>
        <v>Target Group 3 [not in use]</v>
      </c>
      <c r="G117" s="195">
        <f>SUM(G115:G116)</f>
        <v>0</v>
      </c>
      <c r="H117" s="195">
        <f>SUM(H115:H116)</f>
        <v>0</v>
      </c>
      <c r="I117" s="254">
        <f>SUM(I115:I116)</f>
        <v>0</v>
      </c>
      <c r="J117" s="167">
        <f>SUM(J115:J116)</f>
        <v>0</v>
      </c>
    </row>
    <row r="118" spans="5:10" s="23" customFormat="1" ht="7.5" customHeight="1">
      <c r="G118" s="134"/>
      <c r="H118" s="134"/>
      <c r="J118" s="134"/>
    </row>
    <row r="119" spans="5:10" s="23" customFormat="1">
      <c r="E119" s="160" t="str">
        <f>TGT_POPS!D127</f>
        <v>Target Group 4 [not in use]</v>
      </c>
      <c r="G119" s="18"/>
      <c r="H119" s="18"/>
      <c r="J119" s="18"/>
    </row>
    <row r="120" spans="5:10" s="23" customFormat="1">
      <c r="E120" s="159">
        <f>TGT_POPS!D44</f>
        <v>0</v>
      </c>
      <c r="G120" s="210">
        <f>TGT_POPS!J44</f>
        <v>0</v>
      </c>
      <c r="H120" s="210">
        <f>TGT_POPS!J128</f>
        <v>0</v>
      </c>
      <c r="I120" s="259">
        <v>0.5</v>
      </c>
      <c r="J120" s="210">
        <f t="shared" ref="J120:J124" si="7">H120*I120</f>
        <v>0</v>
      </c>
    </row>
    <row r="121" spans="5:10" s="23" customFormat="1">
      <c r="E121" s="159">
        <f>TGT_POPS!D45</f>
        <v>0</v>
      </c>
      <c r="G121" s="210">
        <f>TGT_POPS!J45</f>
        <v>0</v>
      </c>
      <c r="H121" s="210">
        <f>TGT_POPS!J129</f>
        <v>0</v>
      </c>
      <c r="I121" s="259">
        <v>0</v>
      </c>
      <c r="J121" s="210">
        <f t="shared" si="7"/>
        <v>0</v>
      </c>
    </row>
    <row r="122" spans="5:10" s="23" customFormat="1">
      <c r="E122" s="159">
        <f>TGT_POPS!D46</f>
        <v>0</v>
      </c>
      <c r="G122" s="210">
        <f>TGT_POPS!J46</f>
        <v>0</v>
      </c>
      <c r="H122" s="210">
        <f>TGT_POPS!J130</f>
        <v>0</v>
      </c>
      <c r="I122" s="259">
        <v>0</v>
      </c>
      <c r="J122" s="210">
        <f t="shared" si="7"/>
        <v>0</v>
      </c>
    </row>
    <row r="123" spans="5:10" s="23" customFormat="1">
      <c r="E123" s="159">
        <f>TGT_POPS!D47</f>
        <v>0</v>
      </c>
      <c r="G123" s="210">
        <f>TGT_POPS!J47</f>
        <v>0</v>
      </c>
      <c r="H123" s="210">
        <f>TGT_POPS!J131</f>
        <v>0</v>
      </c>
      <c r="I123" s="259">
        <v>0</v>
      </c>
      <c r="J123" s="210">
        <f t="shared" si="7"/>
        <v>0</v>
      </c>
    </row>
    <row r="124" spans="5:10" s="23" customFormat="1">
      <c r="E124" s="159">
        <f>TGT_POPS!D48</f>
        <v>0</v>
      </c>
      <c r="G124" s="209">
        <f>TGT_POPS!J48</f>
        <v>0</v>
      </c>
      <c r="H124" s="209">
        <f>TGT_POPS!J132</f>
        <v>0</v>
      </c>
      <c r="I124" s="259">
        <v>0</v>
      </c>
      <c r="J124" s="209">
        <f t="shared" si="7"/>
        <v>0</v>
      </c>
    </row>
    <row r="125" spans="5:10" s="23" customFormat="1">
      <c r="E125" s="253" t="str">
        <f>E119</f>
        <v>Target Group 4 [not in use]</v>
      </c>
      <c r="G125" s="195">
        <f>SUM(G120:G124)</f>
        <v>0</v>
      </c>
      <c r="H125" s="195">
        <f>SUM(H120:H124)</f>
        <v>0</v>
      </c>
      <c r="I125" s="254">
        <f>SUM(I120:I124)</f>
        <v>0.5</v>
      </c>
      <c r="J125" s="167">
        <f>SUM(J120:J124)</f>
        <v>0</v>
      </c>
    </row>
    <row r="126" spans="5:10" s="23" customFormat="1" ht="7.5" customHeight="1">
      <c r="G126" s="12"/>
      <c r="H126" s="12"/>
      <c r="J126" s="12"/>
    </row>
    <row r="127" spans="5:10" s="23" customFormat="1">
      <c r="E127" s="160" t="str">
        <f>TGT_POPS!D51</f>
        <v>Total Target_Populations</v>
      </c>
      <c r="G127" s="255">
        <f>SUM(G107,G112,G117,G125)</f>
        <v>13917</v>
      </c>
      <c r="H127" s="255">
        <f>SUM(H107,H112,H117,H125)</f>
        <v>9048.2999999999993</v>
      </c>
      <c r="I127" s="260"/>
      <c r="J127" s="255">
        <f>SUM(J107,J112,J117,J125)</f>
        <v>0</v>
      </c>
    </row>
    <row r="128" spans="5:10" s="23" customFormat="1"/>
    <row r="130" spans="2:10">
      <c r="B130" s="23"/>
      <c r="C130" s="152" t="s">
        <v>483</v>
      </c>
      <c r="D130" s="152" t="s">
        <v>596</v>
      </c>
      <c r="J130" s="115">
        <v>1</v>
      </c>
    </row>
    <row r="131" spans="2:10" s="23" customFormat="1"/>
    <row r="132" spans="2:10" s="23" customFormat="1"/>
    <row r="133" spans="2:10" s="23" customFormat="1">
      <c r="C133" s="152" t="s">
        <v>487</v>
      </c>
      <c r="D133" s="152" t="s">
        <v>496</v>
      </c>
    </row>
    <row r="134" spans="2:10">
      <c r="G134" s="23"/>
      <c r="H134" s="23"/>
      <c r="I134" s="23"/>
      <c r="J134" s="23"/>
    </row>
    <row r="135" spans="2:10" ht="57.6">
      <c r="C135" s="94" t="s">
        <v>194</v>
      </c>
      <c r="D135" s="111" t="s">
        <v>440</v>
      </c>
      <c r="G135" s="152" t="s">
        <v>117</v>
      </c>
      <c r="H135" s="72" t="s">
        <v>476</v>
      </c>
      <c r="J135" s="72" t="s">
        <v>477</v>
      </c>
    </row>
    <row r="136" spans="2:10">
      <c r="G136" s="31">
        <v>1</v>
      </c>
    </row>
    <row r="137" spans="2:10">
      <c r="F137" s="152" t="s">
        <v>189</v>
      </c>
      <c r="H137" s="241">
        <f ca="1">IF(G136=2,SD_ROUTINE_BA!L169,SD_ROUTINE_BA!N169)</f>
        <v>0</v>
      </c>
      <c r="I137" s="143" t="str">
        <f ca="1">OFFSET(FLU_LU!$D$77,G136,0)</f>
        <v>USD</v>
      </c>
      <c r="J137" s="117">
        <v>0</v>
      </c>
    </row>
    <row r="138" spans="2:10">
      <c r="F138" s="152" t="s">
        <v>190</v>
      </c>
      <c r="H138" s="241">
        <f ca="1">IF(G136=2,SD_ROUTINE_BA!M169,SD_ROUTINE_BA!O169)</f>
        <v>0.27892045454545455</v>
      </c>
      <c r="I138" s="143" t="str">
        <f ca="1">OFFSET(FLU_LU!$D$77,G136,0)</f>
        <v>USD</v>
      </c>
      <c r="J138" s="117">
        <v>0.33</v>
      </c>
    </row>
    <row r="139" spans="2:10">
      <c r="G139" s="23"/>
      <c r="H139" s="23"/>
      <c r="I139" s="23"/>
      <c r="J139" s="12"/>
    </row>
    <row r="140" spans="2:10">
      <c r="D140" s="150" t="str">
        <f>"Go to Detailed Worksheet for "&amp;HL_FLU_SD_Routine_B_Detailed</f>
        <v>Go to Detailed Worksheet for Detailed Cost Estimate: Routine Immunization by an Home Visit Nurse</v>
      </c>
      <c r="E140" s="61"/>
      <c r="F140" s="61"/>
      <c r="H140" s="152" t="s">
        <v>478</v>
      </c>
    </row>
    <row r="142" spans="2:10" ht="15.6">
      <c r="D142" s="111" t="s">
        <v>480</v>
      </c>
    </row>
    <row r="143" spans="2:10">
      <c r="F143" s="667"/>
      <c r="G143" s="667"/>
      <c r="H143" s="667"/>
      <c r="I143" s="667"/>
    </row>
    <row r="144" spans="2:10">
      <c r="F144" s="667"/>
      <c r="G144" s="667"/>
      <c r="H144" s="667"/>
      <c r="I144" s="667"/>
    </row>
    <row r="145" spans="2:10">
      <c r="F145" s="667"/>
      <c r="G145" s="667"/>
      <c r="H145" s="667"/>
      <c r="I145" s="667"/>
    </row>
    <row r="146" spans="2:10">
      <c r="F146" s="667"/>
      <c r="G146" s="667"/>
      <c r="H146" s="667"/>
      <c r="I146" s="667"/>
    </row>
    <row r="147" spans="2:10">
      <c r="G147" s="23"/>
      <c r="H147" s="23"/>
      <c r="I147" s="23"/>
      <c r="J147" s="23"/>
    </row>
    <row r="148" spans="2:10" s="23" customFormat="1"/>
    <row r="149" spans="2:10" s="23" customFormat="1"/>
    <row r="150" spans="2:10" s="23" customFormat="1"/>
    <row r="151" spans="2:10" ht="17.399999999999999">
      <c r="B151" s="15" t="s">
        <v>202</v>
      </c>
    </row>
    <row r="152" spans="2:10" ht="15" thickBot="1">
      <c r="G152" s="738" t="s">
        <v>609</v>
      </c>
      <c r="H152" s="738"/>
    </row>
    <row r="153" spans="2:10" ht="16.2" thickBot="1">
      <c r="D153" s="111" t="s">
        <v>498</v>
      </c>
      <c r="G153" s="739" t="s">
        <v>608</v>
      </c>
      <c r="H153" s="739"/>
      <c r="J153" s="264">
        <f>J127/J130</f>
        <v>0</v>
      </c>
    </row>
    <row r="155" spans="2:10" ht="15.6">
      <c r="D155" s="111" t="s">
        <v>499</v>
      </c>
    </row>
    <row r="158" spans="2:10">
      <c r="F158" s="155" t="str">
        <f>"Total Cost ("&amp;FLU_LU!$D$78&amp;")"</f>
        <v>Total Cost (USD)</v>
      </c>
      <c r="J158" s="12"/>
    </row>
    <row r="159" spans="2:10">
      <c r="I159" s="68" t="s">
        <v>166</v>
      </c>
      <c r="J159" s="343">
        <f>IF(G136=1,J137*J153,(J137*J153)/FLU_XCHANGE_YR1)</f>
        <v>0</v>
      </c>
    </row>
    <row r="160" spans="2:10">
      <c r="I160" s="68" t="s">
        <v>167</v>
      </c>
      <c r="J160" s="343">
        <f>IF(G136=1,J138*J153,(J138*J153/FLU_XCHANGE_YR1))</f>
        <v>0</v>
      </c>
    </row>
    <row r="162" spans="2:10">
      <c r="F162" s="155" t="str">
        <f>"Total Cost ("&amp;FLU_LU!$D$79&amp;")"</f>
        <v>Total Cost (GOZ)</v>
      </c>
      <c r="I162" s="68" t="s">
        <v>166</v>
      </c>
      <c r="J162" s="95">
        <f>IF(G136=2,J137*J153,(J137*J153)*FLU_XCHANGE_YR1)</f>
        <v>0</v>
      </c>
    </row>
    <row r="163" spans="2:10">
      <c r="I163" s="68" t="s">
        <v>167</v>
      </c>
      <c r="J163" s="95">
        <f>IF(G136=2,J138*J153,(J138*J153)*FLU_XCHANGE_YR1)</f>
        <v>0</v>
      </c>
    </row>
    <row r="165" spans="2:10" ht="15" thickBot="1">
      <c r="B165" s="55"/>
      <c r="C165" s="55"/>
      <c r="D165" s="55"/>
      <c r="E165" s="55"/>
      <c r="F165" s="55"/>
      <c r="G165" s="55"/>
      <c r="H165" s="55"/>
      <c r="I165" s="55"/>
      <c r="J165" s="55"/>
    </row>
    <row r="166" spans="2:10" s="23" customFormat="1"/>
    <row r="167" spans="2:10" s="23" customFormat="1"/>
    <row r="168" spans="2:10" s="23" customFormat="1" ht="17.399999999999999">
      <c r="B168" s="81" t="str">
        <f>"1c. "&amp;FLU_LU!$D$350</f>
        <v>1c. Routine Immunization by a Satellite Outreach Nurse</v>
      </c>
    </row>
    <row r="169" spans="2:10" s="23" customFormat="1"/>
    <row r="171" spans="2:10">
      <c r="B171" s="152" t="s">
        <v>445</v>
      </c>
      <c r="C171" s="152" t="s">
        <v>110</v>
      </c>
    </row>
    <row r="172" spans="2:10" s="23" customFormat="1" ht="57.6">
      <c r="E172" s="152" t="s">
        <v>100</v>
      </c>
      <c r="G172" s="152" t="s">
        <v>525</v>
      </c>
      <c r="H172" s="152" t="s">
        <v>594</v>
      </c>
      <c r="I172" s="72" t="s">
        <v>595</v>
      </c>
      <c r="J172" s="142" t="s">
        <v>278</v>
      </c>
    </row>
    <row r="173" spans="2:10" s="23" customFormat="1"/>
    <row r="174" spans="2:10" s="23" customFormat="1">
      <c r="E174" s="160" t="str">
        <f>TGT_POPS!D27</f>
        <v>Target Group 1</v>
      </c>
      <c r="G174" s="18"/>
      <c r="H174" s="18"/>
      <c r="J174" s="18"/>
    </row>
    <row r="175" spans="2:10" s="23" customFormat="1">
      <c r="E175" s="159" t="str">
        <f>TGT_POPS!D28</f>
        <v>Front Line Health Workers working in facilities with more than 200 workers</v>
      </c>
      <c r="G175" s="210">
        <f>TGT_POPS!J28</f>
        <v>3468</v>
      </c>
      <c r="H175" s="210">
        <f>TGT_POPS!J112</f>
        <v>1734</v>
      </c>
      <c r="I175" s="259">
        <v>0</v>
      </c>
      <c r="J175" s="210">
        <f t="shared" ref="J175:J177" si="8">H175*I175</f>
        <v>0</v>
      </c>
    </row>
    <row r="176" spans="2:10" s="23" customFormat="1">
      <c r="E176" s="159" t="str">
        <f>TGT_POPS!D29</f>
        <v>Front Line Health Workers working in facilities with 100 to 200 workers</v>
      </c>
      <c r="G176" s="210">
        <f>TGT_POPS!J29</f>
        <v>3449</v>
      </c>
      <c r="H176" s="210">
        <f>TGT_POPS!J113</f>
        <v>2414.2999999999997</v>
      </c>
      <c r="I176" s="259">
        <v>0</v>
      </c>
      <c r="J176" s="210">
        <f t="shared" si="8"/>
        <v>0</v>
      </c>
    </row>
    <row r="177" spans="5:10" s="23" customFormat="1">
      <c r="E177" s="159" t="str">
        <f>TGT_POPS!D30</f>
        <v>Front Line Health Workers working in facilities with fewer than 100 workers</v>
      </c>
      <c r="G177" s="209">
        <f>TGT_POPS!J30</f>
        <v>7000</v>
      </c>
      <c r="H177" s="209">
        <f>TGT_POPS!J114</f>
        <v>4900</v>
      </c>
      <c r="I177" s="259">
        <v>0</v>
      </c>
      <c r="J177" s="209">
        <f t="shared" si="8"/>
        <v>0</v>
      </c>
    </row>
    <row r="178" spans="5:10" s="23" customFormat="1">
      <c r="E178" s="253" t="str">
        <f>E174</f>
        <v>Target Group 1</v>
      </c>
      <c r="G178" s="167">
        <f>SUM(G175:G177)</f>
        <v>13917</v>
      </c>
      <c r="H178" s="167">
        <f>SUM(H175:H177)</f>
        <v>9048.2999999999993</v>
      </c>
      <c r="I178" s="260"/>
      <c r="J178" s="167">
        <f>SUM(J175:J177)</f>
        <v>0</v>
      </c>
    </row>
    <row r="179" spans="5:10" s="23" customFormat="1" ht="7.5" customHeight="1">
      <c r="G179" s="134"/>
      <c r="H179" s="134"/>
      <c r="J179" s="134"/>
    </row>
    <row r="180" spans="5:10" s="23" customFormat="1">
      <c r="E180" s="160" t="str">
        <f>TGT_POPS!D33</f>
        <v>Target Group 2 [not in use]</v>
      </c>
      <c r="G180" s="18"/>
      <c r="H180" s="18"/>
      <c r="J180" s="18"/>
    </row>
    <row r="181" spans="5:10" s="23" customFormat="1">
      <c r="E181" s="159">
        <f>TGT_POPS!D34</f>
        <v>0</v>
      </c>
      <c r="G181" s="210">
        <f>TGT_POPS!J34</f>
        <v>0</v>
      </c>
      <c r="H181" s="210">
        <f>TGT_POPS!J118</f>
        <v>0</v>
      </c>
      <c r="I181" s="259">
        <v>0</v>
      </c>
      <c r="J181" s="210">
        <f t="shared" ref="J181:J182" si="9">H181*I181</f>
        <v>0</v>
      </c>
    </row>
    <row r="182" spans="5:10" s="23" customFormat="1">
      <c r="E182" s="159">
        <f>TGT_POPS!D35</f>
        <v>0</v>
      </c>
      <c r="G182" s="209">
        <f>TGT_POPS!J35</f>
        <v>0</v>
      </c>
      <c r="H182" s="209">
        <f>TGT_POPS!J119</f>
        <v>0</v>
      </c>
      <c r="I182" s="259">
        <v>0.5</v>
      </c>
      <c r="J182" s="209">
        <f t="shared" si="9"/>
        <v>0</v>
      </c>
    </row>
    <row r="183" spans="5:10" s="23" customFormat="1">
      <c r="E183" s="253" t="str">
        <f>E180</f>
        <v>Target Group 2 [not in use]</v>
      </c>
      <c r="G183" s="167">
        <f>SUM(G181:G182)</f>
        <v>0</v>
      </c>
      <c r="H183" s="167">
        <f>SUM(H181:H182)</f>
        <v>0</v>
      </c>
      <c r="I183" s="260"/>
      <c r="J183" s="167">
        <f>SUM(J181:J182)</f>
        <v>0</v>
      </c>
    </row>
    <row r="184" spans="5:10" s="23" customFormat="1" ht="7.5" customHeight="1">
      <c r="G184" s="134"/>
      <c r="H184" s="134"/>
      <c r="J184" s="134"/>
    </row>
    <row r="185" spans="5:10" s="23" customFormat="1">
      <c r="E185" s="160" t="str">
        <f>TGT_POPS!D38</f>
        <v>Target Group 3 [not in use]</v>
      </c>
      <c r="G185" s="18"/>
      <c r="H185" s="18"/>
      <c r="J185" s="18"/>
    </row>
    <row r="186" spans="5:10" s="23" customFormat="1">
      <c r="E186" s="159">
        <f>TGT_POPS!D39</f>
        <v>0</v>
      </c>
      <c r="G186" s="210">
        <f>TGT_POPS!J39</f>
        <v>0</v>
      </c>
      <c r="H186" s="210">
        <f>TGT_POPS!J123</f>
        <v>0</v>
      </c>
      <c r="I186" s="259">
        <v>0</v>
      </c>
      <c r="J186" s="210">
        <f t="shared" ref="J186:J187" si="10">H186*I186</f>
        <v>0</v>
      </c>
    </row>
    <row r="187" spans="5:10" s="23" customFormat="1">
      <c r="E187" s="159">
        <f>TGT_POPS!D40</f>
        <v>0</v>
      </c>
      <c r="G187" s="209">
        <f>TGT_POPS!J40</f>
        <v>0</v>
      </c>
      <c r="H187" s="209">
        <f>TGT_POPS!J124</f>
        <v>0</v>
      </c>
      <c r="I187" s="259">
        <v>0.2</v>
      </c>
      <c r="J187" s="209">
        <f t="shared" si="10"/>
        <v>0</v>
      </c>
    </row>
    <row r="188" spans="5:10" s="23" customFormat="1">
      <c r="E188" s="253" t="str">
        <f>E185</f>
        <v>Target Group 3 [not in use]</v>
      </c>
      <c r="G188" s="167">
        <f>SUM(G186:G187)</f>
        <v>0</v>
      </c>
      <c r="H188" s="167">
        <f>SUM(H186:H187)</f>
        <v>0</v>
      </c>
      <c r="I188" s="260"/>
      <c r="J188" s="167">
        <f>SUM(J186:J187)</f>
        <v>0</v>
      </c>
    </row>
    <row r="189" spans="5:10" s="23" customFormat="1" ht="7.5" customHeight="1">
      <c r="G189" s="134"/>
      <c r="H189" s="134"/>
      <c r="J189" s="134"/>
    </row>
    <row r="190" spans="5:10" s="23" customFormat="1">
      <c r="E190" s="160" t="str">
        <f>TGT_POPS!D43</f>
        <v>Target Group 4 [not in use]</v>
      </c>
      <c r="G190" s="18"/>
      <c r="H190" s="18"/>
      <c r="J190" s="18"/>
    </row>
    <row r="191" spans="5:10" s="23" customFormat="1">
      <c r="E191" s="159">
        <f>TGT_POPS!D44</f>
        <v>0</v>
      </c>
      <c r="G191" s="210">
        <f>TGT_POPS!J44</f>
        <v>0</v>
      </c>
      <c r="H191" s="210">
        <f>TGT_POPS!J128</f>
        <v>0</v>
      </c>
      <c r="I191" s="259">
        <v>0</v>
      </c>
      <c r="J191" s="210">
        <f t="shared" ref="J191:J195" si="11">H191*I191</f>
        <v>0</v>
      </c>
    </row>
    <row r="192" spans="5:10" s="23" customFormat="1">
      <c r="E192" s="159">
        <f>TGT_POPS!D45</f>
        <v>0</v>
      </c>
      <c r="G192" s="210">
        <f>TGT_POPS!J45</f>
        <v>0</v>
      </c>
      <c r="H192" s="210">
        <f>TGT_POPS!J129</f>
        <v>0</v>
      </c>
      <c r="I192" s="259">
        <v>0.5</v>
      </c>
      <c r="J192" s="210">
        <f t="shared" si="11"/>
        <v>0</v>
      </c>
    </row>
    <row r="193" spans="3:10" s="23" customFormat="1">
      <c r="E193" s="159">
        <f>TGT_POPS!D46</f>
        <v>0</v>
      </c>
      <c r="G193" s="210">
        <f>TGT_POPS!J46</f>
        <v>0</v>
      </c>
      <c r="H193" s="210">
        <f>TGT_POPS!J130</f>
        <v>0</v>
      </c>
      <c r="I193" s="259">
        <v>0.5</v>
      </c>
      <c r="J193" s="210">
        <f t="shared" si="11"/>
        <v>0</v>
      </c>
    </row>
    <row r="194" spans="3:10" s="23" customFormat="1">
      <c r="E194" s="159">
        <f>TGT_POPS!D47</f>
        <v>0</v>
      </c>
      <c r="G194" s="210">
        <f>TGT_POPS!J47</f>
        <v>0</v>
      </c>
      <c r="H194" s="210">
        <f>TGT_POPS!J131</f>
        <v>0</v>
      </c>
      <c r="I194" s="259">
        <v>0.5</v>
      </c>
      <c r="J194" s="210">
        <f t="shared" si="11"/>
        <v>0</v>
      </c>
    </row>
    <row r="195" spans="3:10" s="23" customFormat="1">
      <c r="E195" s="159">
        <f>TGT_POPS!D48</f>
        <v>0</v>
      </c>
      <c r="G195" s="209">
        <f>TGT_POPS!J48</f>
        <v>0</v>
      </c>
      <c r="H195" s="209">
        <f>TGT_POPS!J132</f>
        <v>0</v>
      </c>
      <c r="I195" s="259">
        <v>0</v>
      </c>
      <c r="J195" s="209">
        <f t="shared" si="11"/>
        <v>0</v>
      </c>
    </row>
    <row r="196" spans="3:10" s="23" customFormat="1">
      <c r="E196" s="253" t="str">
        <f>E190</f>
        <v>Target Group 4 [not in use]</v>
      </c>
      <c r="G196" s="167">
        <f>SUM(G191:G195)</f>
        <v>0</v>
      </c>
      <c r="H196" s="167">
        <f>SUM(H191:H195)</f>
        <v>0</v>
      </c>
      <c r="I196" s="260"/>
      <c r="J196" s="167">
        <f>SUM(J191:J195)</f>
        <v>0</v>
      </c>
    </row>
    <row r="197" spans="3:10" s="23" customFormat="1" ht="7.5" customHeight="1">
      <c r="G197" s="12"/>
      <c r="H197" s="12"/>
      <c r="J197" s="12"/>
    </row>
    <row r="198" spans="3:10" s="23" customFormat="1">
      <c r="E198" s="160" t="str">
        <f>TGT_POPS!D51</f>
        <v>Total Target_Populations</v>
      </c>
      <c r="G198" s="255">
        <f>SUM(G178,G183,G188,G196)</f>
        <v>13917</v>
      </c>
      <c r="H198" s="255">
        <f>SUM(H178,H183,H188,H196)</f>
        <v>9048.2999999999993</v>
      </c>
      <c r="I198" s="260"/>
      <c r="J198" s="255">
        <f>SUM(J178,J183,J188,J196)</f>
        <v>0</v>
      </c>
    </row>
    <row r="199" spans="3:10" s="23" customFormat="1"/>
    <row r="200" spans="3:10" s="23" customFormat="1"/>
    <row r="201" spans="3:10" s="23" customFormat="1">
      <c r="C201" s="152" t="s">
        <v>483</v>
      </c>
      <c r="D201" s="152" t="s">
        <v>596</v>
      </c>
      <c r="J201" s="115">
        <v>1</v>
      </c>
    </row>
    <row r="202" spans="3:10" s="23" customFormat="1"/>
    <row r="204" spans="3:10">
      <c r="C204" s="152" t="s">
        <v>487</v>
      </c>
      <c r="D204" s="152" t="s">
        <v>496</v>
      </c>
    </row>
    <row r="206" spans="3:10" ht="57.6">
      <c r="C206" s="94" t="s">
        <v>194</v>
      </c>
      <c r="D206" s="111" t="s">
        <v>440</v>
      </c>
      <c r="G206" s="152" t="s">
        <v>117</v>
      </c>
      <c r="H206" s="72" t="s">
        <v>476</v>
      </c>
      <c r="J206" s="72" t="s">
        <v>477</v>
      </c>
    </row>
    <row r="207" spans="3:10">
      <c r="G207" s="31">
        <v>1</v>
      </c>
    </row>
    <row r="208" spans="3:10">
      <c r="F208" s="152" t="s">
        <v>189</v>
      </c>
      <c r="H208" s="241">
        <f ca="1">IF(G207=2,SD_ROUTINE_BA!L252,SD_ROUTINE_BA!N252)</f>
        <v>0</v>
      </c>
      <c r="I208" s="143" t="str">
        <f ca="1">OFFSET(FLU_LU!$D$77,G207,0)</f>
        <v>USD</v>
      </c>
      <c r="J208" s="117">
        <v>0</v>
      </c>
    </row>
    <row r="209" spans="2:10">
      <c r="F209" s="152" t="s">
        <v>190</v>
      </c>
      <c r="H209" s="241">
        <f ca="1">IF(G207=2,SD_ROUTINE_BA!M252,SD_ROUTINE_BA!O252)</f>
        <v>0.27892045454545455</v>
      </c>
      <c r="I209" s="143" t="str">
        <f ca="1">OFFSET(FLU_LU!$D$77,G207,0)</f>
        <v>USD</v>
      </c>
      <c r="J209" s="117">
        <v>0.33</v>
      </c>
    </row>
    <row r="210" spans="2:10">
      <c r="J210" s="12"/>
    </row>
    <row r="211" spans="2:10">
      <c r="D211" s="150" t="str">
        <f>HL_FLU_SD_Routine_1C_Detailed</f>
        <v>Detailed Cost Estimate: Routine Immunization by a Satellite Outreach Nurse</v>
      </c>
      <c r="E211" s="61"/>
      <c r="F211" s="61"/>
      <c r="H211" s="152" t="s">
        <v>478</v>
      </c>
    </row>
    <row r="213" spans="2:10" ht="15.6">
      <c r="D213" s="111" t="s">
        <v>480</v>
      </c>
    </row>
    <row r="214" spans="2:10">
      <c r="F214" s="667"/>
      <c r="G214" s="667"/>
      <c r="H214" s="667"/>
      <c r="I214" s="667"/>
    </row>
    <row r="215" spans="2:10">
      <c r="F215" s="667"/>
      <c r="G215" s="667"/>
      <c r="H215" s="667"/>
      <c r="I215" s="667"/>
    </row>
    <row r="216" spans="2:10">
      <c r="F216" s="667"/>
      <c r="G216" s="667"/>
      <c r="H216" s="667"/>
      <c r="I216" s="667"/>
    </row>
    <row r="217" spans="2:10">
      <c r="F217" s="667"/>
      <c r="G217" s="667"/>
      <c r="H217" s="667"/>
      <c r="I217" s="667"/>
    </row>
    <row r="219" spans="2:10" ht="17.399999999999999">
      <c r="B219" s="15" t="s">
        <v>202</v>
      </c>
    </row>
    <row r="220" spans="2:10" ht="15" thickBot="1">
      <c r="G220" s="738" t="s">
        <v>609</v>
      </c>
      <c r="H220" s="738"/>
    </row>
    <row r="221" spans="2:10" ht="16.2" thickBot="1">
      <c r="D221" s="111" t="s">
        <v>498</v>
      </c>
      <c r="G221" s="739" t="s">
        <v>608</v>
      </c>
      <c r="H221" s="739"/>
      <c r="J221" s="264">
        <f>J198/J201</f>
        <v>0</v>
      </c>
    </row>
    <row r="223" spans="2:10" ht="15.6">
      <c r="D223" s="111" t="s">
        <v>499</v>
      </c>
    </row>
    <row r="226" spans="2:10">
      <c r="F226" s="155" t="str">
        <f>"Total Cost ("&amp;FLU_LU!$D$78&amp;")"</f>
        <v>Total Cost (USD)</v>
      </c>
      <c r="J226" s="12"/>
    </row>
    <row r="227" spans="2:10">
      <c r="I227" s="68" t="s">
        <v>166</v>
      </c>
      <c r="J227" s="343">
        <f>IF(G207=1,J208*J221,(J208*J221)/FLU_XCHANGE_YR1)</f>
        <v>0</v>
      </c>
    </row>
    <row r="228" spans="2:10">
      <c r="I228" s="68" t="s">
        <v>167</v>
      </c>
      <c r="J228" s="343">
        <f>IF(G207=1,J209*J221,(J209*J221/FLU_XCHANGE_YR1))</f>
        <v>0</v>
      </c>
    </row>
    <row r="230" spans="2:10">
      <c r="F230" s="155" t="str">
        <f>"Total Cost ("&amp;FLU_LU!$D$79&amp;")"</f>
        <v>Total Cost (GOZ)</v>
      </c>
      <c r="I230" s="68" t="s">
        <v>166</v>
      </c>
      <c r="J230" s="95">
        <f>IF(G207=2,J208*J221,(J208*J221)*FLU_XCHANGE_YR1)</f>
        <v>0</v>
      </c>
    </row>
    <row r="231" spans="2:10">
      <c r="I231" s="68" t="s">
        <v>167</v>
      </c>
      <c r="J231" s="95">
        <f>IF(G207=2,J209*J221,(J209*J221)*FLU_XCHANGE_YR1)</f>
        <v>0</v>
      </c>
    </row>
    <row r="233" spans="2:10" ht="15" thickBot="1">
      <c r="B233" s="55"/>
      <c r="C233" s="55"/>
      <c r="D233" s="55"/>
      <c r="E233" s="55"/>
      <c r="F233" s="55"/>
      <c r="G233" s="55"/>
      <c r="H233" s="55"/>
      <c r="I233" s="55"/>
      <c r="J233" s="55"/>
    </row>
    <row r="235" spans="2:10" ht="17.399999999999999">
      <c r="B235" s="81" t="str">
        <f>"2a. "&amp;FLU_LU!$D$355</f>
        <v>2a. SIA - Team of 2 Nurses - Full Working Day</v>
      </c>
    </row>
    <row r="238" spans="2:10">
      <c r="C238" s="152" t="s">
        <v>445</v>
      </c>
      <c r="D238" s="152" t="s">
        <v>110</v>
      </c>
    </row>
    <row r="239" spans="2:10" s="23" customFormat="1" ht="57.6">
      <c r="E239" s="152" t="s">
        <v>100</v>
      </c>
      <c r="G239" s="152" t="s">
        <v>525</v>
      </c>
      <c r="H239" s="152" t="s">
        <v>594</v>
      </c>
      <c r="I239" s="72" t="s">
        <v>595</v>
      </c>
      <c r="J239" s="142" t="s">
        <v>278</v>
      </c>
    </row>
    <row r="240" spans="2:10" s="23" customFormat="1"/>
    <row r="241" spans="5:10" s="23" customFormat="1">
      <c r="E241" s="160" t="str">
        <f>TGT_POPS!D27</f>
        <v>Target Group 1</v>
      </c>
      <c r="G241" s="18"/>
      <c r="H241" s="18"/>
      <c r="J241" s="18"/>
    </row>
    <row r="242" spans="5:10" s="23" customFormat="1">
      <c r="E242" s="159" t="str">
        <f>TGT_POPS!D28</f>
        <v>Front Line Health Workers working in facilities with more than 200 workers</v>
      </c>
      <c r="G242" s="210">
        <f>TGT_POPS!J28</f>
        <v>3468</v>
      </c>
      <c r="H242" s="210">
        <f>TGT_POPS!J112</f>
        <v>1734</v>
      </c>
      <c r="I242" s="259">
        <v>0</v>
      </c>
      <c r="J242" s="210">
        <f t="shared" ref="J242:J244" si="12">H242*I242</f>
        <v>0</v>
      </c>
    </row>
    <row r="243" spans="5:10" s="23" customFormat="1">
      <c r="E243" s="159" t="str">
        <f>TGT_POPS!D29</f>
        <v>Front Line Health Workers working in facilities with 100 to 200 workers</v>
      </c>
      <c r="G243" s="210">
        <f>TGT_POPS!J29</f>
        <v>3449</v>
      </c>
      <c r="H243" s="210">
        <f>TGT_POPS!J113</f>
        <v>2414.2999999999997</v>
      </c>
      <c r="I243" s="259">
        <v>1</v>
      </c>
      <c r="J243" s="210">
        <f t="shared" si="12"/>
        <v>2414.2999999999997</v>
      </c>
    </row>
    <row r="244" spans="5:10" s="23" customFormat="1">
      <c r="E244" s="159" t="str">
        <f>TGT_POPS!D30</f>
        <v>Front Line Health Workers working in facilities with fewer than 100 workers</v>
      </c>
      <c r="G244" s="209">
        <f>TGT_POPS!J30</f>
        <v>7000</v>
      </c>
      <c r="H244" s="209">
        <f>TGT_POPS!J114</f>
        <v>4900</v>
      </c>
      <c r="I244" s="259">
        <v>0</v>
      </c>
      <c r="J244" s="209">
        <f t="shared" si="12"/>
        <v>0</v>
      </c>
    </row>
    <row r="245" spans="5:10" s="23" customFormat="1">
      <c r="E245" s="253" t="str">
        <f>E241</f>
        <v>Target Group 1</v>
      </c>
      <c r="G245" s="167">
        <f>SUM(G242:G244)</f>
        <v>13917</v>
      </c>
      <c r="H245" s="167">
        <f>SUM(H242:H244)</f>
        <v>9048.2999999999993</v>
      </c>
      <c r="I245" s="43"/>
      <c r="J245" s="167">
        <f>SUM(J242:J244)</f>
        <v>2414.2999999999997</v>
      </c>
    </row>
    <row r="246" spans="5:10" s="23" customFormat="1" ht="7.5" customHeight="1">
      <c r="G246" s="134"/>
      <c r="H246" s="134"/>
      <c r="J246" s="134"/>
    </row>
    <row r="247" spans="5:10" s="23" customFormat="1">
      <c r="E247" s="160" t="str">
        <f>TGT_POPS!D33</f>
        <v>Target Group 2 [not in use]</v>
      </c>
      <c r="G247" s="18"/>
      <c r="H247" s="18"/>
      <c r="J247" s="18"/>
    </row>
    <row r="248" spans="5:10" s="23" customFormat="1">
      <c r="E248" s="159">
        <f>TGT_POPS!D34</f>
        <v>0</v>
      </c>
      <c r="G248" s="210">
        <f>TGT_POPS!J34</f>
        <v>0</v>
      </c>
      <c r="H248" s="210">
        <f>TGT_POPS!J118</f>
        <v>0</v>
      </c>
      <c r="I248" s="259">
        <v>0</v>
      </c>
      <c r="J248" s="210">
        <f t="shared" ref="J248:J249" si="13">H248*I248</f>
        <v>0</v>
      </c>
    </row>
    <row r="249" spans="5:10" s="23" customFormat="1">
      <c r="E249" s="159">
        <f>TGT_POPS!D35</f>
        <v>0</v>
      </c>
      <c r="G249" s="209">
        <f>TGT_POPS!J35</f>
        <v>0</v>
      </c>
      <c r="H249" s="209">
        <f>TGT_POPS!J119</f>
        <v>0</v>
      </c>
      <c r="I249" s="259">
        <v>0</v>
      </c>
      <c r="J249" s="209">
        <f t="shared" si="13"/>
        <v>0</v>
      </c>
    </row>
    <row r="250" spans="5:10" s="23" customFormat="1">
      <c r="E250" s="253" t="str">
        <f>E247</f>
        <v>Target Group 2 [not in use]</v>
      </c>
      <c r="G250" s="167">
        <f>SUM(G248:G249)</f>
        <v>0</v>
      </c>
      <c r="H250" s="167">
        <f>SUM(H248:H249)</f>
        <v>0</v>
      </c>
      <c r="I250" s="43"/>
      <c r="J250" s="167">
        <f>SUM(J248:J249)</f>
        <v>0</v>
      </c>
    </row>
    <row r="251" spans="5:10" s="23" customFormat="1" ht="7.5" customHeight="1">
      <c r="G251" s="134"/>
      <c r="H251" s="134"/>
      <c r="J251" s="134"/>
    </row>
    <row r="252" spans="5:10" s="23" customFormat="1">
      <c r="E252" s="160" t="str">
        <f>TGT_POPS!D38</f>
        <v>Target Group 3 [not in use]</v>
      </c>
      <c r="G252" s="18"/>
      <c r="H252" s="18"/>
      <c r="J252" s="18"/>
    </row>
    <row r="253" spans="5:10" s="23" customFormat="1">
      <c r="E253" s="159">
        <f>TGT_POPS!D39</f>
        <v>0</v>
      </c>
      <c r="G253" s="210">
        <f>TGT_POPS!J39</f>
        <v>0</v>
      </c>
      <c r="H253" s="210">
        <f>TGT_POPS!J123</f>
        <v>0</v>
      </c>
      <c r="I253" s="259">
        <v>0</v>
      </c>
      <c r="J253" s="210">
        <f t="shared" ref="J253:J254" si="14">H253*I253</f>
        <v>0</v>
      </c>
    </row>
    <row r="254" spans="5:10" s="23" customFormat="1">
      <c r="E254" s="159">
        <f>TGT_POPS!D40</f>
        <v>0</v>
      </c>
      <c r="G254" s="209">
        <f>TGT_POPS!J40</f>
        <v>0</v>
      </c>
      <c r="H254" s="209">
        <f>TGT_POPS!J124</f>
        <v>0</v>
      </c>
      <c r="I254" s="259">
        <v>0</v>
      </c>
      <c r="J254" s="209">
        <f t="shared" si="14"/>
        <v>0</v>
      </c>
    </row>
    <row r="255" spans="5:10" s="23" customFormat="1">
      <c r="E255" s="253" t="str">
        <f>E252</f>
        <v>Target Group 3 [not in use]</v>
      </c>
      <c r="G255" s="167">
        <f>SUM(G253:G254)</f>
        <v>0</v>
      </c>
      <c r="H255" s="167">
        <f>SUM(H253:H254)</f>
        <v>0</v>
      </c>
      <c r="I255" s="43"/>
      <c r="J255" s="167">
        <f>SUM(J253:J254)</f>
        <v>0</v>
      </c>
    </row>
    <row r="256" spans="5:10" s="23" customFormat="1" ht="7.5" customHeight="1">
      <c r="G256" s="134"/>
      <c r="H256" s="134"/>
      <c r="J256" s="134"/>
    </row>
    <row r="257" spans="3:10" s="23" customFormat="1">
      <c r="E257" s="160" t="str">
        <f>TGT_POPS!D43</f>
        <v>Target Group 4 [not in use]</v>
      </c>
      <c r="G257" s="18"/>
      <c r="H257" s="18"/>
      <c r="J257" s="18"/>
    </row>
    <row r="258" spans="3:10" s="23" customFormat="1">
      <c r="E258" s="159">
        <f>TGT_POPS!D44</f>
        <v>0</v>
      </c>
      <c r="G258" s="210">
        <f>TGT_POPS!J44</f>
        <v>0</v>
      </c>
      <c r="H258" s="210">
        <f>TGT_POPS!J128</f>
        <v>0</v>
      </c>
      <c r="I258" s="259">
        <v>0</v>
      </c>
      <c r="J258" s="210">
        <f t="shared" ref="J258:J262" si="15">H258*I258</f>
        <v>0</v>
      </c>
    </row>
    <row r="259" spans="3:10" s="23" customFormat="1">
      <c r="E259" s="159">
        <f>TGT_POPS!D45</f>
        <v>0</v>
      </c>
      <c r="G259" s="210">
        <f>TGT_POPS!J45</f>
        <v>0</v>
      </c>
      <c r="H259" s="210">
        <f>TGT_POPS!J129</f>
        <v>0</v>
      </c>
      <c r="I259" s="259">
        <v>0</v>
      </c>
      <c r="J259" s="210">
        <f t="shared" si="15"/>
        <v>0</v>
      </c>
    </row>
    <row r="260" spans="3:10" s="23" customFormat="1">
      <c r="E260" s="159">
        <f>TGT_POPS!D46</f>
        <v>0</v>
      </c>
      <c r="G260" s="210">
        <f>TGT_POPS!J46</f>
        <v>0</v>
      </c>
      <c r="H260" s="210">
        <f>TGT_POPS!J130</f>
        <v>0</v>
      </c>
      <c r="I260" s="259">
        <v>0</v>
      </c>
      <c r="J260" s="210">
        <f t="shared" si="15"/>
        <v>0</v>
      </c>
    </row>
    <row r="261" spans="3:10" s="23" customFormat="1">
      <c r="E261" s="159">
        <f>TGT_POPS!D47</f>
        <v>0</v>
      </c>
      <c r="G261" s="210">
        <f>TGT_POPS!J47</f>
        <v>0</v>
      </c>
      <c r="H261" s="210">
        <f>TGT_POPS!J131</f>
        <v>0</v>
      </c>
      <c r="I261" s="259">
        <v>0</v>
      </c>
      <c r="J261" s="210">
        <f t="shared" si="15"/>
        <v>0</v>
      </c>
    </row>
    <row r="262" spans="3:10" s="23" customFormat="1">
      <c r="E262" s="159">
        <f>TGT_POPS!D48</f>
        <v>0</v>
      </c>
      <c r="G262" s="209">
        <f>TGT_POPS!J48</f>
        <v>0</v>
      </c>
      <c r="H262" s="209">
        <f>TGT_POPS!J132</f>
        <v>0</v>
      </c>
      <c r="I262" s="259">
        <v>0</v>
      </c>
      <c r="J262" s="209">
        <f t="shared" si="15"/>
        <v>0</v>
      </c>
    </row>
    <row r="263" spans="3:10" s="23" customFormat="1">
      <c r="E263" s="253" t="str">
        <f>E257</f>
        <v>Target Group 4 [not in use]</v>
      </c>
      <c r="G263" s="167">
        <f>SUM(G258:G262)</f>
        <v>0</v>
      </c>
      <c r="H263" s="167">
        <f>SUM(H258:H262)</f>
        <v>0</v>
      </c>
      <c r="I263" s="43"/>
      <c r="J263" s="167">
        <f>SUM(J258:J262)</f>
        <v>0</v>
      </c>
    </row>
    <row r="264" spans="3:10" s="23" customFormat="1" ht="7.5" customHeight="1">
      <c r="G264" s="12"/>
      <c r="H264" s="12"/>
      <c r="J264" s="12"/>
    </row>
    <row r="265" spans="3:10" s="23" customFormat="1">
      <c r="E265" s="160" t="str">
        <f>TGT_POPS!D51</f>
        <v>Total Target_Populations</v>
      </c>
      <c r="G265" s="255">
        <f>SUM(G245,G250,G255,G263)</f>
        <v>13917</v>
      </c>
      <c r="H265" s="255">
        <f>SUM(H245,H250,H255,H263)</f>
        <v>9048.2999999999993</v>
      </c>
      <c r="I265" s="43"/>
      <c r="J265" s="255">
        <f>SUM(J245,J250,J255,J263)</f>
        <v>2414.2999999999997</v>
      </c>
    </row>
    <row r="266" spans="3:10" s="23" customFormat="1"/>
    <row r="268" spans="3:10">
      <c r="C268" s="152" t="s">
        <v>483</v>
      </c>
      <c r="D268" s="152" t="s">
        <v>596</v>
      </c>
      <c r="J268" s="115">
        <v>20</v>
      </c>
    </row>
    <row r="270" spans="3:10">
      <c r="C270" s="152" t="s">
        <v>487</v>
      </c>
      <c r="D270" s="152" t="s">
        <v>496</v>
      </c>
    </row>
    <row r="272" spans="3:10" ht="57.6">
      <c r="C272" s="94" t="s">
        <v>194</v>
      </c>
      <c r="D272" s="111" t="s">
        <v>440</v>
      </c>
      <c r="G272" s="152" t="s">
        <v>117</v>
      </c>
      <c r="H272" s="72" t="s">
        <v>476</v>
      </c>
      <c r="J272" s="72" t="s">
        <v>477</v>
      </c>
    </row>
    <row r="273" spans="2:10">
      <c r="G273" s="31">
        <v>1</v>
      </c>
    </row>
    <row r="274" spans="2:10">
      <c r="F274" s="152" t="s">
        <v>189</v>
      </c>
      <c r="H274" s="95">
        <f ca="1">IF(G273=2,SD_SIA_BA!L90,SD_SIA_BA!N90)</f>
        <v>0</v>
      </c>
      <c r="I274" s="251" t="str">
        <f ca="1">OFFSET(FLU_LU!$D$77,G273,0)</f>
        <v>USD</v>
      </c>
      <c r="J274" s="117">
        <v>0</v>
      </c>
    </row>
    <row r="275" spans="2:10">
      <c r="F275" s="152" t="s">
        <v>190</v>
      </c>
      <c r="H275" s="95">
        <f ca="1">IF(G273=2,SD_SIA_BA!M90,SD_SIA_BA!O90)</f>
        <v>37.728303030303032</v>
      </c>
      <c r="I275" s="251" t="str">
        <f ca="1">OFFSET(FLU_LU!$D$77,G273,0)</f>
        <v>USD</v>
      </c>
      <c r="J275" s="117">
        <v>44</v>
      </c>
    </row>
    <row r="276" spans="2:10">
      <c r="J276" s="12"/>
    </row>
    <row r="277" spans="2:10">
      <c r="D277" s="150" t="str">
        <f>"Go to Detailed Worksheet "&amp;HL_FLU_SD_SIA_B_Detailed</f>
        <v>Go to Detailed Worksheet Detailed Cost Estimate: SIA - Team of 1 Doctor and 1 Nurse - Full Working Day</v>
      </c>
      <c r="E277" s="61"/>
      <c r="F277" s="61"/>
      <c r="H277" s="152" t="s">
        <v>478</v>
      </c>
    </row>
    <row r="279" spans="2:10" ht="15.6">
      <c r="D279" s="111" t="s">
        <v>480</v>
      </c>
    </row>
    <row r="280" spans="2:10">
      <c r="F280" s="667"/>
      <c r="G280" s="667"/>
      <c r="H280" s="667"/>
      <c r="I280" s="667"/>
    </row>
    <row r="281" spans="2:10">
      <c r="F281" s="667"/>
      <c r="G281" s="667"/>
      <c r="H281" s="667"/>
      <c r="I281" s="667"/>
    </row>
    <row r="282" spans="2:10">
      <c r="F282" s="667"/>
      <c r="G282" s="667"/>
      <c r="H282" s="667"/>
      <c r="I282" s="667"/>
    </row>
    <row r="283" spans="2:10">
      <c r="F283" s="667"/>
      <c r="G283" s="667"/>
      <c r="H283" s="667"/>
      <c r="I283" s="667"/>
    </row>
    <row r="285" spans="2:10" ht="17.399999999999999">
      <c r="B285" s="15" t="s">
        <v>202</v>
      </c>
    </row>
    <row r="286" spans="2:10" ht="15" thickBot="1">
      <c r="G286" s="738" t="s">
        <v>609</v>
      </c>
      <c r="H286" s="738"/>
    </row>
    <row r="287" spans="2:10" ht="16.2" thickBot="1">
      <c r="D287" s="111" t="s">
        <v>498</v>
      </c>
      <c r="G287" s="739" t="s">
        <v>608</v>
      </c>
      <c r="H287" s="739"/>
      <c r="J287" s="264">
        <f>J265/J268</f>
        <v>120.71499999999999</v>
      </c>
    </row>
    <row r="289" spans="2:10" ht="15.6">
      <c r="D289" s="111" t="s">
        <v>499</v>
      </c>
    </row>
    <row r="290" spans="2:10">
      <c r="I290" s="23"/>
    </row>
    <row r="292" spans="2:10">
      <c r="F292" s="155" t="str">
        <f>"Total Cost ("&amp;FLU_LU!$D$78&amp;")"</f>
        <v>Total Cost (USD)</v>
      </c>
      <c r="J292" s="12"/>
    </row>
    <row r="293" spans="2:10">
      <c r="I293" s="68" t="s">
        <v>166</v>
      </c>
      <c r="J293" s="343">
        <f>IF(G273=1,J274*J287,(J274*J287)/FLU_XCHANGE_YR1)</f>
        <v>0</v>
      </c>
    </row>
    <row r="294" spans="2:10">
      <c r="I294" s="68" t="s">
        <v>167</v>
      </c>
      <c r="J294" s="343">
        <f>IF(G273=1,J275*J287,(J275*J287/FLU_XCHANGE_YR1))</f>
        <v>5311.4599999999991</v>
      </c>
    </row>
    <row r="296" spans="2:10">
      <c r="F296" s="155" t="str">
        <f>"Total Cost ("&amp;FLU_LU!$D$79&amp;")"</f>
        <v>Total Cost (GOZ)</v>
      </c>
      <c r="I296" s="68" t="s">
        <v>166</v>
      </c>
      <c r="J296" s="95">
        <f>IF(G273=2,J274*J287,(J274*J287)*FLU_XCHANGE_YR1)</f>
        <v>0</v>
      </c>
    </row>
    <row r="297" spans="2:10">
      <c r="I297" s="68" t="s">
        <v>167</v>
      </c>
      <c r="J297" s="95">
        <f>IF(G273=2,J275*J287,(J275*J287)*FLU_XCHANGE_YR1)</f>
        <v>796718.99999999988</v>
      </c>
    </row>
    <row r="299" spans="2:10" ht="15" thickBot="1">
      <c r="B299" s="55"/>
      <c r="C299" s="55"/>
      <c r="D299" s="55"/>
      <c r="E299" s="55"/>
      <c r="F299" s="55"/>
      <c r="G299" s="55"/>
      <c r="H299" s="55"/>
      <c r="I299" s="55"/>
      <c r="J299" s="55"/>
    </row>
    <row r="301" spans="2:10" ht="17.399999999999999">
      <c r="B301" s="81" t="str">
        <f>"2b. "&amp;FLU_LU!$D$356</f>
        <v>2b. SIA - Team of 1 Doctor and 1 Nurse - Full Working Day</v>
      </c>
    </row>
    <row r="304" spans="2:10">
      <c r="C304" s="152" t="s">
        <v>445</v>
      </c>
      <c r="D304" s="152" t="s">
        <v>110</v>
      </c>
    </row>
    <row r="305" spans="5:10" s="23" customFormat="1" ht="57.6">
      <c r="E305" s="152" t="s">
        <v>100</v>
      </c>
      <c r="G305" s="152" t="s">
        <v>525</v>
      </c>
      <c r="H305" s="152" t="s">
        <v>594</v>
      </c>
      <c r="I305" s="72" t="s">
        <v>595</v>
      </c>
      <c r="J305" s="142" t="s">
        <v>278</v>
      </c>
    </row>
    <row r="306" spans="5:10" s="23" customFormat="1">
      <c r="E306" s="160" t="str">
        <f>TGT_POPS!D27</f>
        <v>Target Group 1</v>
      </c>
      <c r="G306" s="43"/>
      <c r="H306" s="43"/>
      <c r="I306" s="339"/>
      <c r="J306" s="43"/>
    </row>
    <row r="307" spans="5:10" s="23" customFormat="1">
      <c r="E307" s="159" t="str">
        <f>TGT_POPS!D28</f>
        <v>Front Line Health Workers working in facilities with more than 200 workers</v>
      </c>
      <c r="G307" s="210">
        <f>TGT_POPS!J28</f>
        <v>3468</v>
      </c>
      <c r="H307" s="210">
        <f>TGT_POPS!J112</f>
        <v>1734</v>
      </c>
      <c r="I307" s="259">
        <v>1</v>
      </c>
      <c r="J307" s="210">
        <f t="shared" ref="J307:J309" si="16">H307*I307</f>
        <v>1734</v>
      </c>
    </row>
    <row r="308" spans="5:10" s="23" customFormat="1">
      <c r="E308" s="159" t="str">
        <f>TGT_POPS!D29</f>
        <v>Front Line Health Workers working in facilities with 100 to 200 workers</v>
      </c>
      <c r="G308" s="210">
        <f>TGT_POPS!J29</f>
        <v>3449</v>
      </c>
      <c r="H308" s="210">
        <f>TGT_POPS!J113</f>
        <v>2414.2999999999997</v>
      </c>
      <c r="I308" s="259">
        <v>0</v>
      </c>
      <c r="J308" s="210">
        <f t="shared" si="16"/>
        <v>0</v>
      </c>
    </row>
    <row r="309" spans="5:10" s="23" customFormat="1">
      <c r="E309" s="159" t="str">
        <f>TGT_POPS!D30</f>
        <v>Front Line Health Workers working in facilities with fewer than 100 workers</v>
      </c>
      <c r="G309" s="209">
        <f>TGT_POPS!J30</f>
        <v>7000</v>
      </c>
      <c r="H309" s="209">
        <f>TGT_POPS!J114</f>
        <v>4900</v>
      </c>
      <c r="I309" s="259">
        <v>0</v>
      </c>
      <c r="J309" s="209">
        <f t="shared" si="16"/>
        <v>0</v>
      </c>
    </row>
    <row r="310" spans="5:10" s="23" customFormat="1">
      <c r="E310" s="159" t="str">
        <f>E306</f>
        <v>Target Group 1</v>
      </c>
      <c r="G310" s="195">
        <f>SUM(G307:G309)</f>
        <v>13917</v>
      </c>
      <c r="H310" s="195">
        <f>SUM(H307:H309)</f>
        <v>9048.2999999999993</v>
      </c>
      <c r="I310" s="260"/>
      <c r="J310" s="195">
        <f>SUM(J307:J309)</f>
        <v>1734</v>
      </c>
    </row>
    <row r="311" spans="5:10" s="23" customFormat="1" ht="7.5" customHeight="1">
      <c r="G311" s="134"/>
      <c r="H311" s="134"/>
      <c r="J311" s="134"/>
    </row>
    <row r="312" spans="5:10" s="23" customFormat="1">
      <c r="E312" s="160" t="str">
        <f>TGT_POPS!D33</f>
        <v>Target Group 2 [not in use]</v>
      </c>
      <c r="G312" s="43"/>
      <c r="H312" s="43"/>
      <c r="I312" s="339"/>
      <c r="J312" s="43"/>
    </row>
    <row r="313" spans="5:10" s="23" customFormat="1">
      <c r="E313" s="159">
        <f>TGT_POPS!D34</f>
        <v>0</v>
      </c>
      <c r="G313" s="210">
        <f>TGT_POPS!J34</f>
        <v>0</v>
      </c>
      <c r="H313" s="210">
        <f>TGT_POPS!J118</f>
        <v>0</v>
      </c>
      <c r="I313" s="259">
        <v>0</v>
      </c>
      <c r="J313" s="210">
        <f t="shared" ref="J313:J314" si="17">H313*I313</f>
        <v>0</v>
      </c>
    </row>
    <row r="314" spans="5:10" s="23" customFormat="1">
      <c r="E314" s="159">
        <f>TGT_POPS!D35</f>
        <v>0</v>
      </c>
      <c r="G314" s="209">
        <f>TGT_POPS!J35</f>
        <v>0</v>
      </c>
      <c r="H314" s="209">
        <f>TGT_POPS!J119</f>
        <v>0</v>
      </c>
      <c r="I314" s="259">
        <v>0</v>
      </c>
      <c r="J314" s="209">
        <f t="shared" si="17"/>
        <v>0</v>
      </c>
    </row>
    <row r="315" spans="5:10" s="23" customFormat="1">
      <c r="E315" s="159" t="str">
        <f>E312</f>
        <v>Target Group 2 [not in use]</v>
      </c>
      <c r="G315" s="195">
        <f>SUM(G313:G314)</f>
        <v>0</v>
      </c>
      <c r="H315" s="195">
        <f>SUM(H313:H314)</f>
        <v>0</v>
      </c>
      <c r="I315" s="260"/>
      <c r="J315" s="195">
        <f>SUM(J313:J314)</f>
        <v>0</v>
      </c>
    </row>
    <row r="316" spans="5:10" s="23" customFormat="1" ht="7.5" customHeight="1">
      <c r="G316" s="134"/>
      <c r="H316" s="134"/>
      <c r="J316" s="134"/>
    </row>
    <row r="317" spans="5:10" s="23" customFormat="1">
      <c r="E317" s="160" t="str">
        <f>TGT_POPS!D38</f>
        <v>Target Group 3 [not in use]</v>
      </c>
      <c r="G317" s="43"/>
      <c r="H317" s="43"/>
      <c r="I317" s="339"/>
      <c r="J317" s="43"/>
    </row>
    <row r="318" spans="5:10" s="23" customFormat="1">
      <c r="E318" s="159">
        <f>TGT_POPS!D39</f>
        <v>0</v>
      </c>
      <c r="G318" s="210">
        <f>TGT_POPS!J39</f>
        <v>0</v>
      </c>
      <c r="H318" s="210">
        <f>TGT_POPS!J123</f>
        <v>0</v>
      </c>
      <c r="I318" s="259">
        <v>0</v>
      </c>
      <c r="J318" s="210">
        <f t="shared" ref="J318:J319" si="18">H318*I318</f>
        <v>0</v>
      </c>
    </row>
    <row r="319" spans="5:10" s="23" customFormat="1">
      <c r="E319" s="159">
        <f>TGT_POPS!D40</f>
        <v>0</v>
      </c>
      <c r="G319" s="209">
        <f>TGT_POPS!J40</f>
        <v>0</v>
      </c>
      <c r="H319" s="209">
        <f>TGT_POPS!J124</f>
        <v>0</v>
      </c>
      <c r="I319" s="259">
        <v>0</v>
      </c>
      <c r="J319" s="209">
        <f t="shared" si="18"/>
        <v>0</v>
      </c>
    </row>
    <row r="320" spans="5:10" s="23" customFormat="1">
      <c r="E320" s="159" t="str">
        <f>E317</f>
        <v>Target Group 3 [not in use]</v>
      </c>
      <c r="G320" s="195">
        <f>SUM(G318:G319)</f>
        <v>0</v>
      </c>
      <c r="H320" s="195">
        <f>SUM(H318:H319)</f>
        <v>0</v>
      </c>
      <c r="I320" s="260"/>
      <c r="J320" s="195">
        <f>SUM(J318:J319)</f>
        <v>0</v>
      </c>
    </row>
    <row r="321" spans="3:10" s="23" customFormat="1" ht="7.5" customHeight="1">
      <c r="G321" s="134"/>
      <c r="H321" s="134"/>
      <c r="J321" s="134"/>
    </row>
    <row r="322" spans="3:10" s="23" customFormat="1">
      <c r="E322" s="160" t="str">
        <f>TGT_POPS!D43</f>
        <v>Target Group 4 [not in use]</v>
      </c>
      <c r="G322" s="43"/>
      <c r="H322" s="43"/>
      <c r="I322" s="339"/>
      <c r="J322" s="43"/>
    </row>
    <row r="323" spans="3:10" s="23" customFormat="1">
      <c r="E323" s="159">
        <f>TGT_POPS!D44</f>
        <v>0</v>
      </c>
      <c r="G323" s="210">
        <f>TGT_POPS!J44</f>
        <v>0</v>
      </c>
      <c r="H323" s="210">
        <f>TGT_POPS!J128</f>
        <v>0</v>
      </c>
      <c r="I323" s="259">
        <v>0</v>
      </c>
      <c r="J323" s="210">
        <f t="shared" ref="J323:J327" si="19">H323*I323</f>
        <v>0</v>
      </c>
    </row>
    <row r="324" spans="3:10" s="23" customFormat="1">
      <c r="E324" s="159">
        <f>TGT_POPS!D45</f>
        <v>0</v>
      </c>
      <c r="G324" s="210">
        <f>TGT_POPS!J45</f>
        <v>0</v>
      </c>
      <c r="H324" s="210">
        <f>TGT_POPS!J129</f>
        <v>0</v>
      </c>
      <c r="I324" s="259">
        <v>0</v>
      </c>
      <c r="J324" s="210">
        <f t="shared" si="19"/>
        <v>0</v>
      </c>
    </row>
    <row r="325" spans="3:10" s="23" customFormat="1">
      <c r="E325" s="159">
        <f>TGT_POPS!D46</f>
        <v>0</v>
      </c>
      <c r="G325" s="210">
        <f>TGT_POPS!J46</f>
        <v>0</v>
      </c>
      <c r="H325" s="210">
        <f>TGT_POPS!J130</f>
        <v>0</v>
      </c>
      <c r="I325" s="259">
        <v>0</v>
      </c>
      <c r="J325" s="210">
        <f t="shared" si="19"/>
        <v>0</v>
      </c>
    </row>
    <row r="326" spans="3:10" s="23" customFormat="1">
      <c r="E326" s="159">
        <f>TGT_POPS!D47</f>
        <v>0</v>
      </c>
      <c r="G326" s="210">
        <f>TGT_POPS!J47</f>
        <v>0</v>
      </c>
      <c r="H326" s="210">
        <f>TGT_POPS!J131</f>
        <v>0</v>
      </c>
      <c r="I326" s="259">
        <v>0</v>
      </c>
      <c r="J326" s="210">
        <f t="shared" si="19"/>
        <v>0</v>
      </c>
    </row>
    <row r="327" spans="3:10" s="23" customFormat="1">
      <c r="E327" s="159">
        <f>TGT_POPS!D48</f>
        <v>0</v>
      </c>
      <c r="G327" s="209">
        <f>TGT_POPS!J48</f>
        <v>0</v>
      </c>
      <c r="H327" s="209">
        <f>TGT_POPS!J132</f>
        <v>0</v>
      </c>
      <c r="I327" s="259">
        <v>0</v>
      </c>
      <c r="J327" s="209">
        <f t="shared" si="19"/>
        <v>0</v>
      </c>
    </row>
    <row r="328" spans="3:10" s="23" customFormat="1">
      <c r="E328" s="159" t="str">
        <f>E322</f>
        <v>Target Group 4 [not in use]</v>
      </c>
      <c r="G328" s="195">
        <f>SUM(G323:G327)</f>
        <v>0</v>
      </c>
      <c r="H328" s="195">
        <f>SUM(H323:H327)</f>
        <v>0</v>
      </c>
      <c r="I328" s="260"/>
      <c r="J328" s="195">
        <f>SUM(J323:J327)</f>
        <v>0</v>
      </c>
    </row>
    <row r="329" spans="3:10" s="23" customFormat="1" ht="7.5" customHeight="1">
      <c r="G329" s="263"/>
      <c r="H329" s="263"/>
      <c r="I329" s="339"/>
      <c r="J329" s="263"/>
    </row>
    <row r="330" spans="3:10" s="23" customFormat="1">
      <c r="E330" s="160" t="str">
        <f>TGT_POPS!D51</f>
        <v>Total Target_Populations</v>
      </c>
      <c r="G330" s="255">
        <f>SUM(G310,G315,G320,G328)</f>
        <v>13917</v>
      </c>
      <c r="H330" s="255">
        <f>SUM(H310,H315,H320,H328)</f>
        <v>9048.2999999999993</v>
      </c>
      <c r="I330" s="260"/>
      <c r="J330" s="255">
        <f>SUM(J310,J315,J320,J328)</f>
        <v>1734</v>
      </c>
    </row>
    <row r="331" spans="3:10" s="23" customFormat="1"/>
    <row r="332" spans="3:10" s="23" customFormat="1"/>
    <row r="333" spans="3:10" s="23" customFormat="1">
      <c r="C333" s="152" t="s">
        <v>483</v>
      </c>
      <c r="D333" s="152" t="s">
        <v>596</v>
      </c>
      <c r="J333" s="115">
        <v>20</v>
      </c>
    </row>
    <row r="334" spans="3:10" s="23" customFormat="1"/>
    <row r="335" spans="3:10" s="23" customFormat="1">
      <c r="C335" s="152" t="s">
        <v>487</v>
      </c>
      <c r="D335" s="152" t="s">
        <v>496</v>
      </c>
    </row>
    <row r="337" spans="2:10" ht="57.6">
      <c r="C337" s="94" t="s">
        <v>194</v>
      </c>
      <c r="D337" s="111" t="s">
        <v>440</v>
      </c>
      <c r="G337" s="152" t="s">
        <v>117</v>
      </c>
      <c r="H337" s="72" t="s">
        <v>476</v>
      </c>
      <c r="J337" s="72" t="s">
        <v>477</v>
      </c>
    </row>
    <row r="338" spans="2:10">
      <c r="G338" s="31">
        <v>1</v>
      </c>
    </row>
    <row r="339" spans="2:10">
      <c r="F339" s="152" t="s">
        <v>189</v>
      </c>
      <c r="H339" s="95">
        <f ca="1">IF(G338=2,SD_SIA_BA!L173,SD_SIA_BA!N173)</f>
        <v>0</v>
      </c>
      <c r="I339" s="251" t="str">
        <f ca="1">OFFSET(FLU_LU!$D$77,G338,0)</f>
        <v>USD</v>
      </c>
      <c r="J339" s="115">
        <v>0</v>
      </c>
    </row>
    <row r="340" spans="2:10">
      <c r="F340" s="152" t="s">
        <v>190</v>
      </c>
      <c r="H340" s="95">
        <f ca="1">IF(G338=2,SD_SIA_BA!M173,SD_SIA_BA!O173)</f>
        <v>45.093848484848486</v>
      </c>
      <c r="I340" s="251" t="str">
        <f ca="1">OFFSET(FLU_LU!$D$77,G338,0)</f>
        <v>USD</v>
      </c>
      <c r="J340" s="115">
        <v>53</v>
      </c>
    </row>
    <row r="341" spans="2:10">
      <c r="J341" s="12"/>
    </row>
    <row r="342" spans="2:10">
      <c r="D342" s="740" t="str">
        <f>"Go to Detailed Worksheet "&amp;HL_FLU_SD_SIA_B_Detailed</f>
        <v>Go to Detailed Worksheet Detailed Cost Estimate: SIA - Team of 1 Doctor and 1 Nurse - Full Working Day</v>
      </c>
      <c r="E342" s="741"/>
      <c r="F342" s="741"/>
      <c r="H342" s="152" t="s">
        <v>478</v>
      </c>
    </row>
    <row r="344" spans="2:10" ht="15.6">
      <c r="D344" s="111" t="s">
        <v>480</v>
      </c>
    </row>
    <row r="345" spans="2:10">
      <c r="F345" s="667"/>
      <c r="G345" s="667"/>
      <c r="H345" s="667"/>
      <c r="I345" s="667"/>
    </row>
    <row r="346" spans="2:10">
      <c r="F346" s="667"/>
      <c r="G346" s="667"/>
      <c r="H346" s="667"/>
      <c r="I346" s="667"/>
    </row>
    <row r="347" spans="2:10">
      <c r="F347" s="667"/>
      <c r="G347" s="667"/>
      <c r="H347" s="667"/>
      <c r="I347" s="667"/>
    </row>
    <row r="348" spans="2:10">
      <c r="F348" s="667"/>
      <c r="G348" s="667"/>
      <c r="H348" s="667"/>
      <c r="I348" s="667"/>
    </row>
    <row r="350" spans="2:10" ht="17.399999999999999">
      <c r="B350" s="15" t="s">
        <v>202</v>
      </c>
    </row>
    <row r="351" spans="2:10" ht="15" thickBot="1"/>
    <row r="352" spans="2:10" ht="16.2" thickBot="1">
      <c r="D352" s="111" t="s">
        <v>498</v>
      </c>
      <c r="G352" s="738" t="s">
        <v>609</v>
      </c>
      <c r="H352" s="738"/>
      <c r="J352" s="264">
        <f>J330/J333</f>
        <v>86.7</v>
      </c>
    </row>
    <row r="353" spans="2:10">
      <c r="G353" s="739" t="s">
        <v>608</v>
      </c>
      <c r="H353" s="739"/>
    </row>
    <row r="354" spans="2:10" ht="15.6">
      <c r="D354" s="111" t="s">
        <v>499</v>
      </c>
    </row>
    <row r="357" spans="2:10">
      <c r="F357" s="155" t="str">
        <f>"Total Cost ("&amp;FLU_LU!$D$78&amp;")"</f>
        <v>Total Cost (USD)</v>
      </c>
      <c r="J357" s="12"/>
    </row>
    <row r="358" spans="2:10">
      <c r="I358" s="68" t="s">
        <v>166</v>
      </c>
      <c r="J358" s="343">
        <f>IF(G338=1,J339*J352,(J339*J352)/FLU_XCHANGE_YR1)</f>
        <v>0</v>
      </c>
    </row>
    <row r="359" spans="2:10">
      <c r="I359" s="68" t="s">
        <v>167</v>
      </c>
      <c r="J359" s="343">
        <f>IF(G338=1,J340*J352,(J340*J352/FLU_XCHANGE_YR1))</f>
        <v>4595.1000000000004</v>
      </c>
    </row>
    <row r="361" spans="2:10">
      <c r="F361" s="155" t="str">
        <f>"Total Cost ("&amp;FLU_LU!$D$79&amp;")"</f>
        <v>Total Cost (GOZ)</v>
      </c>
      <c r="I361" s="68" t="s">
        <v>166</v>
      </c>
      <c r="J361" s="95">
        <f>IF(G338=2,J339*J352,(J339*J352)*FLU_XCHANGE_YR1)</f>
        <v>0</v>
      </c>
    </row>
    <row r="362" spans="2:10">
      <c r="I362" s="68" t="s">
        <v>167</v>
      </c>
      <c r="J362" s="95">
        <f>IF(G338=2,J340*J352,(J340*J352)*FLU_XCHANGE_YR1)</f>
        <v>689265</v>
      </c>
    </row>
    <row r="364" spans="2:10" ht="15" thickBot="1">
      <c r="B364" s="55"/>
      <c r="C364" s="55"/>
      <c r="D364" s="55"/>
      <c r="E364" s="55"/>
      <c r="F364" s="55"/>
      <c r="G364" s="55"/>
      <c r="H364" s="55"/>
      <c r="I364" s="55"/>
      <c r="J364" s="55"/>
    </row>
    <row r="366" spans="2:10" ht="17.399999999999999">
      <c r="B366" s="81" t="str">
        <f>"2c. "&amp;FLU_LU!$D$357</f>
        <v>2c. Service Delivery - Special Immunization Activity Category 3</v>
      </c>
    </row>
    <row r="369" spans="3:10">
      <c r="C369" s="152" t="s">
        <v>445</v>
      </c>
      <c r="D369" s="152" t="s">
        <v>110</v>
      </c>
    </row>
    <row r="370" spans="3:10" s="23" customFormat="1" ht="57.6">
      <c r="E370" s="152" t="s">
        <v>100</v>
      </c>
      <c r="G370" s="152" t="s">
        <v>525</v>
      </c>
      <c r="H370" s="152" t="s">
        <v>594</v>
      </c>
      <c r="I370" s="72" t="s">
        <v>595</v>
      </c>
      <c r="J370" s="142" t="s">
        <v>278</v>
      </c>
    </row>
    <row r="371" spans="3:10" s="23" customFormat="1"/>
    <row r="372" spans="3:10" s="23" customFormat="1">
      <c r="E372" s="160" t="str">
        <f>TGT_POPS!D27</f>
        <v>Target Group 1</v>
      </c>
      <c r="G372" s="43"/>
      <c r="H372" s="43"/>
      <c r="J372" s="43"/>
    </row>
    <row r="373" spans="3:10" s="23" customFormat="1">
      <c r="E373" s="159" t="str">
        <f>TGT_POPS!D28</f>
        <v>Front Line Health Workers working in facilities with more than 200 workers</v>
      </c>
      <c r="G373" s="210">
        <f>TGT_POPS!J28</f>
        <v>3468</v>
      </c>
      <c r="H373" s="210">
        <f>TGT_POPS!J112</f>
        <v>1734</v>
      </c>
      <c r="I373" s="261">
        <v>0</v>
      </c>
      <c r="J373" s="210">
        <f t="shared" ref="J373:J375" si="20">H373*I373</f>
        <v>0</v>
      </c>
    </row>
    <row r="374" spans="3:10" s="23" customFormat="1">
      <c r="E374" s="159" t="str">
        <f>TGT_POPS!D29</f>
        <v>Front Line Health Workers working in facilities with 100 to 200 workers</v>
      </c>
      <c r="G374" s="210">
        <f>TGT_POPS!J29</f>
        <v>3449</v>
      </c>
      <c r="H374" s="210">
        <f>TGT_POPS!J113</f>
        <v>2414.2999999999997</v>
      </c>
      <c r="I374" s="261">
        <v>0</v>
      </c>
      <c r="J374" s="210">
        <f t="shared" si="20"/>
        <v>0</v>
      </c>
    </row>
    <row r="375" spans="3:10" s="23" customFormat="1">
      <c r="E375" s="159" t="str">
        <f>TGT_POPS!D30</f>
        <v>Front Line Health Workers working in facilities with fewer than 100 workers</v>
      </c>
      <c r="G375" s="209">
        <f>TGT_POPS!J30</f>
        <v>7000</v>
      </c>
      <c r="H375" s="209">
        <f>TGT_POPS!J114</f>
        <v>4900</v>
      </c>
      <c r="I375" s="261">
        <v>0</v>
      </c>
      <c r="J375" s="209">
        <f t="shared" si="20"/>
        <v>0</v>
      </c>
    </row>
    <row r="376" spans="3:10" s="23" customFormat="1">
      <c r="E376" s="253" t="str">
        <f>E372</f>
        <v>Target Group 1</v>
      </c>
      <c r="G376" s="195">
        <f>SUM(G373:G375)</f>
        <v>13917</v>
      </c>
      <c r="H376" s="195">
        <f>SUM(H373:H375)</f>
        <v>9048.2999999999993</v>
      </c>
      <c r="I376" s="87"/>
      <c r="J376" s="167">
        <f>SUM(J373:J375)</f>
        <v>0</v>
      </c>
    </row>
    <row r="377" spans="3:10" s="23" customFormat="1" ht="7.5" customHeight="1">
      <c r="G377" s="134"/>
      <c r="H377" s="134"/>
      <c r="J377" s="134"/>
    </row>
    <row r="378" spans="3:10" s="23" customFormat="1">
      <c r="E378" s="160" t="str">
        <f>TGT_POPS!D33</f>
        <v>Target Group 2 [not in use]</v>
      </c>
      <c r="G378" s="43"/>
      <c r="H378" s="43"/>
      <c r="J378" s="43"/>
    </row>
    <row r="379" spans="3:10" s="23" customFormat="1">
      <c r="E379" s="159">
        <f>TGT_POPS!D34</f>
        <v>0</v>
      </c>
      <c r="G379" s="210">
        <f>TGT_POPS!J34</f>
        <v>0</v>
      </c>
      <c r="H379" s="210">
        <f>TGT_POPS!J118</f>
        <v>0</v>
      </c>
      <c r="I379" s="261">
        <v>0</v>
      </c>
      <c r="J379" s="210">
        <f t="shared" ref="J379:J380" si="21">H379*I379</f>
        <v>0</v>
      </c>
    </row>
    <row r="380" spans="3:10" s="23" customFormat="1">
      <c r="E380" s="159">
        <f>TGT_POPS!D35</f>
        <v>0</v>
      </c>
      <c r="G380" s="209">
        <f>TGT_POPS!J35</f>
        <v>0</v>
      </c>
      <c r="H380" s="209">
        <f>TGT_POPS!J119</f>
        <v>0</v>
      </c>
      <c r="I380" s="261">
        <v>0</v>
      </c>
      <c r="J380" s="209">
        <f t="shared" si="21"/>
        <v>0</v>
      </c>
    </row>
    <row r="381" spans="3:10" s="23" customFormat="1">
      <c r="E381" s="253" t="str">
        <f>E378</f>
        <v>Target Group 2 [not in use]</v>
      </c>
      <c r="G381" s="195">
        <f>SUM(G379:G380)</f>
        <v>0</v>
      </c>
      <c r="H381" s="195">
        <f>SUM(H379:H380)</f>
        <v>0</v>
      </c>
      <c r="I381" s="87"/>
      <c r="J381" s="167">
        <f>SUM(J379:J380)</f>
        <v>0</v>
      </c>
    </row>
    <row r="382" spans="3:10" s="23" customFormat="1" ht="7.5" customHeight="1">
      <c r="G382" s="134"/>
      <c r="H382" s="134"/>
      <c r="J382" s="134"/>
    </row>
    <row r="383" spans="3:10" s="23" customFormat="1">
      <c r="E383" s="160" t="str">
        <f>TGT_POPS!D38</f>
        <v>Target Group 3 [not in use]</v>
      </c>
      <c r="G383" s="43"/>
      <c r="H383" s="43"/>
      <c r="J383" s="43"/>
    </row>
    <row r="384" spans="3:10" s="23" customFormat="1">
      <c r="E384" s="159">
        <f>TGT_POPS!D39</f>
        <v>0</v>
      </c>
      <c r="G384" s="210">
        <f>TGT_POPS!J39</f>
        <v>0</v>
      </c>
      <c r="H384" s="210">
        <f>TGT_POPS!J123</f>
        <v>0</v>
      </c>
      <c r="I384" s="261">
        <v>0</v>
      </c>
      <c r="J384" s="210">
        <f t="shared" ref="J384:J385" si="22">H384*I384</f>
        <v>0</v>
      </c>
    </row>
    <row r="385" spans="3:10" s="23" customFormat="1">
      <c r="E385" s="159">
        <f>TGT_POPS!D40</f>
        <v>0</v>
      </c>
      <c r="G385" s="209">
        <f>TGT_POPS!J40</f>
        <v>0</v>
      </c>
      <c r="H385" s="209">
        <f>TGT_POPS!J124</f>
        <v>0</v>
      </c>
      <c r="I385" s="261">
        <v>0</v>
      </c>
      <c r="J385" s="209">
        <f t="shared" si="22"/>
        <v>0</v>
      </c>
    </row>
    <row r="386" spans="3:10" s="23" customFormat="1">
      <c r="E386" s="253" t="str">
        <f>E383</f>
        <v>Target Group 3 [not in use]</v>
      </c>
      <c r="G386" s="195">
        <f>SUM(G384:G385)</f>
        <v>0</v>
      </c>
      <c r="H386" s="195">
        <f>SUM(H384:H385)</f>
        <v>0</v>
      </c>
      <c r="I386" s="87"/>
      <c r="J386" s="167">
        <f>SUM(J384:J385)</f>
        <v>0</v>
      </c>
    </row>
    <row r="387" spans="3:10" s="23" customFormat="1" ht="7.5" customHeight="1">
      <c r="G387" s="134"/>
      <c r="H387" s="134"/>
      <c r="J387" s="134"/>
    </row>
    <row r="388" spans="3:10" s="23" customFormat="1">
      <c r="E388" s="160" t="str">
        <f>TGT_POPS!D43</f>
        <v>Target Group 4 [not in use]</v>
      </c>
      <c r="G388" s="43"/>
      <c r="H388" s="43"/>
      <c r="J388" s="43"/>
    </row>
    <row r="389" spans="3:10" s="23" customFormat="1">
      <c r="E389" s="159">
        <f>TGT_POPS!D44</f>
        <v>0</v>
      </c>
      <c r="G389" s="210">
        <f>TGT_POPS!J44</f>
        <v>0</v>
      </c>
      <c r="H389" s="210">
        <f>TGT_POPS!J128</f>
        <v>0</v>
      </c>
      <c r="I389" s="261">
        <v>0</v>
      </c>
      <c r="J389" s="210">
        <f t="shared" ref="J389:J393" si="23">H389*I389</f>
        <v>0</v>
      </c>
    </row>
    <row r="390" spans="3:10" s="23" customFormat="1">
      <c r="E390" s="159">
        <f>TGT_POPS!D45</f>
        <v>0</v>
      </c>
      <c r="G390" s="210">
        <f>TGT_POPS!J45</f>
        <v>0</v>
      </c>
      <c r="H390" s="210">
        <f>TGT_POPS!J129</f>
        <v>0</v>
      </c>
      <c r="I390" s="261">
        <v>0</v>
      </c>
      <c r="J390" s="210">
        <f t="shared" si="23"/>
        <v>0</v>
      </c>
    </row>
    <row r="391" spans="3:10" s="23" customFormat="1">
      <c r="E391" s="159">
        <f>TGT_POPS!D46</f>
        <v>0</v>
      </c>
      <c r="G391" s="210">
        <f>TGT_POPS!J46</f>
        <v>0</v>
      </c>
      <c r="H391" s="210">
        <f>TGT_POPS!J130</f>
        <v>0</v>
      </c>
      <c r="I391" s="261">
        <v>0</v>
      </c>
      <c r="J391" s="210">
        <f t="shared" si="23"/>
        <v>0</v>
      </c>
    </row>
    <row r="392" spans="3:10" s="23" customFormat="1">
      <c r="E392" s="159">
        <f>TGT_POPS!D47</f>
        <v>0</v>
      </c>
      <c r="G392" s="210">
        <f>TGT_POPS!J47</f>
        <v>0</v>
      </c>
      <c r="H392" s="210">
        <f>TGT_POPS!J131</f>
        <v>0</v>
      </c>
      <c r="I392" s="261">
        <v>0</v>
      </c>
      <c r="J392" s="210">
        <f t="shared" si="23"/>
        <v>0</v>
      </c>
    </row>
    <row r="393" spans="3:10" s="23" customFormat="1">
      <c r="E393" s="159">
        <f>TGT_POPS!D48</f>
        <v>0</v>
      </c>
      <c r="G393" s="209">
        <f>TGT_POPS!J48</f>
        <v>0</v>
      </c>
      <c r="H393" s="209">
        <f>TGT_POPS!J132</f>
        <v>0</v>
      </c>
      <c r="I393" s="261">
        <v>0</v>
      </c>
      <c r="J393" s="209">
        <f t="shared" si="23"/>
        <v>0</v>
      </c>
    </row>
    <row r="394" spans="3:10" s="23" customFormat="1">
      <c r="E394" s="253" t="str">
        <f>E388</f>
        <v>Target Group 4 [not in use]</v>
      </c>
      <c r="G394" s="195">
        <f>SUM(G389:G393)</f>
        <v>0</v>
      </c>
      <c r="H394" s="195">
        <f>SUM(H389:H393)</f>
        <v>0</v>
      </c>
      <c r="I394" s="87"/>
      <c r="J394" s="167">
        <f>SUM(J389:J393)</f>
        <v>0</v>
      </c>
    </row>
    <row r="395" spans="3:10" s="23" customFormat="1" ht="7.5" customHeight="1">
      <c r="G395" s="263"/>
      <c r="H395" s="263"/>
      <c r="J395" s="263"/>
    </row>
    <row r="396" spans="3:10" s="23" customFormat="1">
      <c r="E396" s="160" t="str">
        <f>TGT_POPS!D51</f>
        <v>Total Target_Populations</v>
      </c>
      <c r="G396" s="255">
        <f>SUM(G376,G381,G386,G394)</f>
        <v>13917</v>
      </c>
      <c r="H396" s="255">
        <f>SUM(H376,H381,H386,H394)</f>
        <v>9048.2999999999993</v>
      </c>
      <c r="I396" s="87"/>
      <c r="J396" s="255">
        <f>SUM(J376,J381,J386,J394)</f>
        <v>0</v>
      </c>
    </row>
    <row r="397" spans="3:10" s="23" customFormat="1"/>
    <row r="398" spans="3:10" s="23" customFormat="1">
      <c r="J398" s="152" t="s">
        <v>515</v>
      </c>
    </row>
    <row r="399" spans="3:10" s="23" customFormat="1">
      <c r="C399" s="152" t="s">
        <v>483</v>
      </c>
      <c r="D399" s="152" t="s">
        <v>596</v>
      </c>
      <c r="J399" s="115">
        <v>50</v>
      </c>
    </row>
    <row r="400" spans="3:10" s="23" customFormat="1"/>
    <row r="401" spans="3:10" s="23" customFormat="1"/>
    <row r="402" spans="3:10">
      <c r="C402" s="152" t="s">
        <v>487</v>
      </c>
      <c r="D402" s="152" t="s">
        <v>496</v>
      </c>
    </row>
    <row r="404" spans="3:10" ht="57.6">
      <c r="C404" s="94" t="s">
        <v>194</v>
      </c>
      <c r="D404" s="111" t="s">
        <v>440</v>
      </c>
      <c r="G404" s="152" t="s">
        <v>117</v>
      </c>
      <c r="H404" s="72" t="s">
        <v>476</v>
      </c>
      <c r="J404" s="72" t="s">
        <v>477</v>
      </c>
    </row>
    <row r="405" spans="3:10">
      <c r="G405" s="31">
        <v>1</v>
      </c>
    </row>
    <row r="406" spans="3:10">
      <c r="F406" s="152" t="s">
        <v>189</v>
      </c>
      <c r="H406" s="95">
        <f ca="1">IF(G405=2,SD_SIA_BA!L256,SD_SIA_BA!N256)</f>
        <v>73.333333333333329</v>
      </c>
      <c r="I406" s="251" t="str">
        <f ca="1">OFFSET(FLU_LU!$D$77,G405,0)</f>
        <v>USD</v>
      </c>
      <c r="J406" s="115">
        <v>0</v>
      </c>
    </row>
    <row r="407" spans="3:10">
      <c r="F407" s="152" t="s">
        <v>190</v>
      </c>
      <c r="H407" s="95">
        <f ca="1">IF(G405=2,SD_SIA_BA!M256,SD_SIA_BA!O256)</f>
        <v>73.333333333333329</v>
      </c>
      <c r="I407" s="251" t="str">
        <f ca="1">OFFSET(FLU_LU!$D$77,G405,0)</f>
        <v>USD</v>
      </c>
      <c r="J407" s="115">
        <v>0</v>
      </c>
    </row>
    <row r="408" spans="3:10">
      <c r="J408" s="12"/>
    </row>
    <row r="409" spans="3:10">
      <c r="D409" s="150" t="str">
        <f>"Go to "&amp;HL_FLU_SD_SIA_C_Detailed</f>
        <v>Go to Detailed Cost Estimate: Service Delivery - Special Immunization Activity Category 3</v>
      </c>
      <c r="E409" s="61"/>
      <c r="F409" s="61"/>
      <c r="H409" s="152" t="s">
        <v>478</v>
      </c>
    </row>
    <row r="411" spans="3:10" ht="15.6">
      <c r="D411" s="111" t="s">
        <v>480</v>
      </c>
    </row>
    <row r="412" spans="3:10">
      <c r="F412" s="667"/>
      <c r="G412" s="667"/>
      <c r="H412" s="667"/>
      <c r="I412" s="667"/>
    </row>
    <row r="413" spans="3:10">
      <c r="F413" s="667"/>
      <c r="G413" s="667"/>
      <c r="H413" s="667"/>
      <c r="I413" s="667"/>
    </row>
    <row r="414" spans="3:10">
      <c r="F414" s="667"/>
      <c r="G414" s="667"/>
      <c r="H414" s="667"/>
      <c r="I414" s="667"/>
    </row>
    <row r="415" spans="3:10">
      <c r="F415" s="667"/>
      <c r="G415" s="667"/>
      <c r="H415" s="667"/>
      <c r="I415" s="667"/>
    </row>
    <row r="417" spans="2:10" ht="17.399999999999999">
      <c r="B417" s="15" t="s">
        <v>202</v>
      </c>
    </row>
    <row r="418" spans="2:10" ht="15" thickBot="1">
      <c r="G418" s="738" t="s">
        <v>609</v>
      </c>
      <c r="H418" s="738"/>
    </row>
    <row r="419" spans="2:10" ht="16.2" thickBot="1">
      <c r="D419" s="111" t="s">
        <v>498</v>
      </c>
      <c r="G419" s="739" t="s">
        <v>608</v>
      </c>
      <c r="H419" s="739"/>
      <c r="J419" s="265">
        <f>J396/J399</f>
        <v>0</v>
      </c>
    </row>
    <row r="421" spans="2:10" ht="15.6">
      <c r="D421" s="111" t="s">
        <v>499</v>
      </c>
    </row>
    <row r="424" spans="2:10">
      <c r="F424" s="155" t="str">
        <f>"Total Cost ("&amp;FLU_LU!$D$78&amp;")"</f>
        <v>Total Cost (USD)</v>
      </c>
      <c r="J424" s="12"/>
    </row>
    <row r="425" spans="2:10">
      <c r="I425" s="68" t="s">
        <v>166</v>
      </c>
      <c r="J425" s="343">
        <f>IF(G405=1,J406*J419,(J406*J419)/FLU_XCHANGE_YR1)</f>
        <v>0</v>
      </c>
    </row>
    <row r="426" spans="2:10">
      <c r="I426" s="68" t="s">
        <v>167</v>
      </c>
      <c r="J426" s="343">
        <f>IF(G405=1,J407*J419,(J407*J419/FLU_XCHANGE_YR1))</f>
        <v>0</v>
      </c>
    </row>
    <row r="428" spans="2:10">
      <c r="F428" s="155" t="str">
        <f>"Total Cost ("&amp;FLU_LU!$D$79&amp;")"</f>
        <v>Total Cost (GOZ)</v>
      </c>
      <c r="I428" s="68" t="s">
        <v>166</v>
      </c>
      <c r="J428" s="95">
        <f>IF(G405=2,J406*J419,(J406*J419)*FLU_XCHANGE_YR1)</f>
        <v>0</v>
      </c>
    </row>
    <row r="429" spans="2:10">
      <c r="I429" s="68" t="s">
        <v>167</v>
      </c>
      <c r="J429" s="95">
        <f>IF(G405=2,J407*J419,(J407*J419)*FLU_XCHANGE_YR1)</f>
        <v>0</v>
      </c>
    </row>
    <row r="431" spans="2:10" ht="15" thickBot="1">
      <c r="B431" s="55"/>
      <c r="C431" s="55"/>
      <c r="D431" s="55"/>
      <c r="E431" s="55"/>
      <c r="F431" s="55"/>
      <c r="G431" s="55"/>
      <c r="H431" s="55"/>
      <c r="I431" s="55"/>
      <c r="J431" s="55"/>
    </row>
  </sheetData>
  <mergeCells count="45">
    <mergeCell ref="F74:I74"/>
    <mergeCell ref="B3:E3"/>
    <mergeCell ref="G18:I18"/>
    <mergeCell ref="G19:I19"/>
    <mergeCell ref="G20:I20"/>
    <mergeCell ref="G24:I24"/>
    <mergeCell ref="F280:I280"/>
    <mergeCell ref="G25:I25"/>
    <mergeCell ref="G26:I26"/>
    <mergeCell ref="F217:I217"/>
    <mergeCell ref="F214:I214"/>
    <mergeCell ref="F215:I215"/>
    <mergeCell ref="F216:I216"/>
    <mergeCell ref="D71:F71"/>
    <mergeCell ref="G81:H81"/>
    <mergeCell ref="G82:H82"/>
    <mergeCell ref="G152:H152"/>
    <mergeCell ref="G153:H153"/>
    <mergeCell ref="F145:I145"/>
    <mergeCell ref="F146:I146"/>
    <mergeCell ref="F143:I143"/>
    <mergeCell ref="F144:I144"/>
    <mergeCell ref="D342:F342"/>
    <mergeCell ref="F345:I345"/>
    <mergeCell ref="F346:I346"/>
    <mergeCell ref="F347:I347"/>
    <mergeCell ref="F281:I281"/>
    <mergeCell ref="F282:I282"/>
    <mergeCell ref="F283:I283"/>
    <mergeCell ref="F75:I75"/>
    <mergeCell ref="F76:I76"/>
    <mergeCell ref="F77:I77"/>
    <mergeCell ref="G418:H418"/>
    <mergeCell ref="G419:H419"/>
    <mergeCell ref="G286:H286"/>
    <mergeCell ref="G287:H287"/>
    <mergeCell ref="F412:I412"/>
    <mergeCell ref="F413:I413"/>
    <mergeCell ref="F414:I414"/>
    <mergeCell ref="F415:I415"/>
    <mergeCell ref="G220:H220"/>
    <mergeCell ref="G221:H221"/>
    <mergeCell ref="G352:H352"/>
    <mergeCell ref="G353:H353"/>
    <mergeCell ref="F348:I348"/>
  </mergeCells>
  <dataValidations count="2">
    <dataValidation type="custom" showErrorMessage="1" errorTitle="Invalid Assumption" error="Assumption must be a number." sqref="J333 I53:I57 J137:J138 J406:J407 J339:J340 J274:J275 I37:I39 I43:I44 I48:I49 I104:I106 I110:I111 I115:I116 J62 J130 J201 I175:I177 I181:I182 I186:I187 I242:I244 I248:I249 I253:I254 J268 I373:I375 I379:I380 I384:I385 J399 I307:I309 I313:I314 I318:I319 I389:I393 I323:I327 I258:I262 I191:I195 I120:I124 J68:J69 J208:J209" xr:uid="{00000000-0002-0000-1300-000000000000}">
      <formula1>NOT(ISERROR(I37/1))</formula1>
    </dataValidation>
    <dataValidation type="whole" showDropDown="1" showErrorMessage="1" errorTitle="Drop Down Box Cell Link" error="The value in a drop down box cell link must be a whole number within the control's lookup range rows." sqref="G67 G207 G136 G273 G405 G338" xr:uid="{00000000-0002-0000-1300-000001000000}">
      <formula1>1</formula1>
      <formula2>ROWS(LU_FLU_Curr_Code)</formula2>
    </dataValidation>
  </dataValidations>
  <hyperlinks>
    <hyperlink ref="D71:F71" location="HL_FLU_Routine_Vacc_Cost_Ass" tooltip="Click to follow hyperlink." display="HL_FLU_Routine_Vacc_Cost_Ass" xr:uid="{00000000-0004-0000-1300-000000000000}"/>
    <hyperlink ref="B4" location="HL_Sheet_Main_20" tooltip="Go to Previous Sheet" display="HL_Sheet_Main_20" xr:uid="{00000000-0004-0000-1300-000001000000}"/>
    <hyperlink ref="A4" location="$B$10" tooltip="Go to Top of Sheet" display="$B$10" xr:uid="{00000000-0004-0000-1300-000002000000}"/>
    <hyperlink ref="C4" location="HL_Sheet_Main_23" tooltip="Go to Next Sheet" display="HL_Sheet_Main_23" xr:uid="{00000000-0004-0000-1300-000003000000}"/>
    <hyperlink ref="D140" location="HL_FLU_SD_Routine_B_Detailed" tooltip="Click to follow hyperlink." display="HL_FLU_SD_Routine_B_Detailed" xr:uid="{00000000-0004-0000-1300-000004000000}"/>
    <hyperlink ref="D409" location="HL_FLU_SD_SIA_C_Detailed" tooltip="Click to follow hyperlink." display="HL_FLU_SD_SIA_C_Detailed" xr:uid="{00000000-0004-0000-1300-000006000000}"/>
    <hyperlink ref="D342" location="HL_FLU_SD_SIA_B_Detailed" tooltip="Click to follow hyperlink." display="HL_FLU_SD_SIA_B_Detailed" xr:uid="{00000000-0004-0000-1300-000007000000}"/>
    <hyperlink ref="D342:F342" location="HL_FLU_SD_SIA_B_Detailed" tooltip="Click to follow hyperlink." display="HL_FLU_SD_SIA_B_Detailed" xr:uid="{00000000-0004-0000-1300-000008000000}"/>
    <hyperlink ref="D277" location="HL_FLU_SD_SIA_B_Detailed" tooltip="Click to follow hyperlink." display="HL_FLU_SD_SIA_B_Detailed" xr:uid="{00000000-0004-0000-1300-000009000000}"/>
    <hyperlink ref="B3" location="HL_Home" tooltip="Go to Table of Contents" display="HL_Home" xr:uid="{00000000-0004-0000-1300-00000A000000}"/>
    <hyperlink ref="D4" location="HL_Err_Chk" tooltip="Go to Error Checks" display="HL_Err_Chk" xr:uid="{00000000-0004-0000-1300-00000B000000}"/>
    <hyperlink ref="E4" location="HL_Sens_Chk" tooltip="Go to Sensitivity Checks" display="HL_Sens_Chk" xr:uid="{00000000-0004-0000-1300-00000C000000}"/>
    <hyperlink ref="F4" location="HL_Alt_Chk" tooltip="Go to Alert Checks" display="HL_Alt_Chk" xr:uid="{00000000-0004-0000-1300-00000D000000}"/>
    <hyperlink ref="D211" location="HL_FLU_SD_Routine_1C_Detailed" tooltip="Detailed Cost Estimate: Routine Immunization by a Satellite Outreach Nurse" display="HL_FLU_SD_Routine_1C_Detailed" xr:uid="{09E99192-7366-41CA-9E9A-8E0F537485E0}"/>
  </hyperlinks>
  <pageMargins left="0.4" right="0.4" top="0.6" bottom="1" header="0" footer="0.3"/>
  <pageSetup orientation="landscape" horizontalDpi="4294967292" verticalDpi="0" r:id="rId1"/>
  <headerFooter>
    <oddFooter>&amp;L&amp;F
&amp;A
Printed: &amp;T on &amp;D&amp;C&amp;",Bold"Sheet i.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6663" r:id="rId4" name="bpmDropDownFLU9">
              <controlPr defaultSize="0" autoFill="0" autoPict="0">
                <anchor mov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966672" r:id="rId5" name="bpmDropDownFLU4">
              <controlPr defaultSize="0" autoFill="0" autoPict="0">
                <anchor mov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966671" r:id="rId6" name="bpmDropDownFLU3">
              <controlPr defaultSize="0" autoFill="0" autoPict="0">
                <anchor mov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966676" r:id="rId7" name="bpmDropDownFLU1397">
              <controlPr defaultSize="0" autoFill="0" autoPict="0">
                <anchor mov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966677" r:id="rId8" name="bpmDropDownFLU1398">
              <controlPr defaultSize="0" autoFill="0" autoPict="0">
                <anchor mov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966678" r:id="rId9" name="bpmDropDownFLU1399">
              <controlPr defaultSize="0" autoFill="0" autoPict="0">
                <anchor moveWithCells="1">
                  <from>
                    <xdr:col>6</xdr:col>
                    <xdr:colOff>0</xdr:colOff>
                    <xdr:row>404</xdr:row>
                    <xdr:rowOff>0</xdr:rowOff>
                  </from>
                  <to>
                    <xdr:col>7</xdr:col>
                    <xdr:colOff>0</xdr:colOff>
                    <xdr:row>405</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0">
    <tabColor indexed="12"/>
    <pageSetUpPr autoPageBreaks="0"/>
  </sheetPr>
  <dimension ref="A1:N102"/>
  <sheetViews>
    <sheetView showGridLines="0" zoomScaleNormal="100" workbookViewId="0">
      <pane xSplit="1" ySplit="9" topLeftCell="B10" activePane="bottomRight" state="frozenSplit"/>
      <selection pane="topRight" activeCell="B1" sqref="B1"/>
      <selection pane="bottomLeft" activeCell="A12" sqref="A12"/>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0" width="15.6640625" style="134" customWidth="1"/>
    <col min="11" max="16384" width="11.6640625" style="134"/>
  </cols>
  <sheetData>
    <row r="1" spans="1:14" ht="21">
      <c r="B1" s="46" t="s">
        <v>506</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ht="17.399999999999999">
      <c r="B12" s="183" t="s">
        <v>613</v>
      </c>
    </row>
    <row r="13" spans="1:14">
      <c r="C13" s="23"/>
    </row>
    <row r="14" spans="1:14" ht="15.6">
      <c r="C14" s="111" t="s">
        <v>445</v>
      </c>
      <c r="D14" s="152" t="s">
        <v>507</v>
      </c>
    </row>
    <row r="15" spans="1:14">
      <c r="F15" s="152" t="s">
        <v>444</v>
      </c>
      <c r="H15" s="152" t="s">
        <v>342</v>
      </c>
    </row>
    <row r="16" spans="1:14" s="23" customFormat="1">
      <c r="F16" s="151" t="s">
        <v>351</v>
      </c>
      <c r="H16" s="667"/>
      <c r="I16" s="667"/>
    </row>
    <row r="17" spans="3:10" s="23" customFormat="1">
      <c r="F17" s="151" t="s">
        <v>352</v>
      </c>
      <c r="H17" s="667"/>
      <c r="I17" s="667"/>
    </row>
    <row r="18" spans="3:10" s="23" customFormat="1">
      <c r="F18" s="151" t="s">
        <v>508</v>
      </c>
      <c r="H18" s="667"/>
      <c r="I18" s="667"/>
    </row>
    <row r="20" spans="3:10" ht="15.6">
      <c r="C20" s="111" t="s">
        <v>483</v>
      </c>
      <c r="D20" s="152" t="s">
        <v>832</v>
      </c>
    </row>
    <row r="21" spans="3:10">
      <c r="C21" s="20"/>
      <c r="D21" s="20"/>
      <c r="E21" s="20"/>
      <c r="F21" s="20"/>
      <c r="G21" s="20"/>
      <c r="H21" s="20"/>
      <c r="I21" s="20"/>
    </row>
    <row r="23" spans="3:10" ht="15.6">
      <c r="C23" s="171" t="str">
        <f>FLU_LU!$D$371</f>
        <v>Supportive Supervision Visit From National to  PHD (district)</v>
      </c>
    </row>
    <row r="26" spans="3:10" ht="57.6">
      <c r="C26" s="94" t="s">
        <v>194</v>
      </c>
      <c r="D26" s="111" t="s">
        <v>439</v>
      </c>
      <c r="G26" s="152" t="s">
        <v>117</v>
      </c>
      <c r="H26" s="72" t="s">
        <v>476</v>
      </c>
      <c r="J26" s="72" t="s">
        <v>477</v>
      </c>
    </row>
    <row r="27" spans="3:10">
      <c r="G27" s="31">
        <v>1</v>
      </c>
    </row>
    <row r="28" spans="3:10">
      <c r="F28" s="152" t="s">
        <v>189</v>
      </c>
      <c r="H28" s="95">
        <f ca="1">IF(G27=2,TRAINING_BA!L66,TRAINING_BA!N66)</f>
        <v>149.15200000000002</v>
      </c>
      <c r="I28" s="159" t="str">
        <f ca="1">OFFSET(FLU_LU!$D$77,G27,0)</f>
        <v>USD</v>
      </c>
      <c r="J28" s="115">
        <v>10000</v>
      </c>
    </row>
    <row r="29" spans="3:10">
      <c r="F29" s="152" t="s">
        <v>190</v>
      </c>
      <c r="H29" s="95">
        <f ca="1">IF(G27=2,TRAINING_BA!M66,TRAINING_BA!O66)</f>
        <v>149.28533333333334</v>
      </c>
      <c r="I29" s="159" t="str">
        <f ca="1">OFFSET(FLU_LU!$D$77,G27,0)</f>
        <v>USD</v>
      </c>
      <c r="J29" s="115">
        <v>15000</v>
      </c>
    </row>
    <row r="31" spans="3:10">
      <c r="D31" s="743" t="str">
        <f>"Go to "&amp;HL_FLU_SME_Detailed_A</f>
        <v>Go to Detailed Cost Estimate: Supportive Supervision Visit From National to  PHD (district)</v>
      </c>
      <c r="E31" s="743"/>
      <c r="F31" s="743"/>
    </row>
    <row r="33" spans="2:10" ht="15.6">
      <c r="D33" s="111" t="s">
        <v>479</v>
      </c>
    </row>
    <row r="34" spans="2:10">
      <c r="F34" s="667"/>
      <c r="G34" s="667"/>
      <c r="H34" s="667"/>
      <c r="I34" s="667"/>
    </row>
    <row r="35" spans="2:10">
      <c r="F35" s="667"/>
      <c r="G35" s="667"/>
      <c r="H35" s="667"/>
      <c r="I35" s="667"/>
    </row>
    <row r="36" spans="2:10">
      <c r="F36" s="667"/>
      <c r="G36" s="667"/>
      <c r="H36" s="667"/>
      <c r="I36" s="667"/>
      <c r="J36" s="12"/>
    </row>
    <row r="38" spans="2:10" ht="15.6">
      <c r="D38" s="111" t="s">
        <v>462</v>
      </c>
      <c r="J38" s="115">
        <v>1</v>
      </c>
    </row>
    <row r="40" spans="2:10" ht="15.6">
      <c r="B40" s="82" t="str">
        <f>"OUTPUT - TOTAL ACTIVITIES COST FOR "&amp;HL_FLU_Training_General_A</f>
        <v>OUTPUT - TOTAL ACTIVITIES COST FOR Public Health Directorate Training</v>
      </c>
    </row>
    <row r="42" spans="2:10">
      <c r="F42" s="155" t="str">
        <f>"Total Cost ("&amp;FLU_LU!$D$78&amp;")"</f>
        <v>Total Cost (USD)</v>
      </c>
      <c r="J42" s="12"/>
    </row>
    <row r="43" spans="2:10">
      <c r="I43" s="68" t="s">
        <v>166</v>
      </c>
      <c r="J43" s="340">
        <f>IF(G27=1,J28*J38,(J28*J38)/FLU_XCHANGE_YR1)</f>
        <v>10000</v>
      </c>
    </row>
    <row r="44" spans="2:10">
      <c r="I44" s="68" t="s">
        <v>167</v>
      </c>
      <c r="J44" s="340">
        <f>IF(G27=1,J29*J38,(J29*J38)/FLU_XCHANGE_YR1)</f>
        <v>15000</v>
      </c>
    </row>
    <row r="46" spans="2:10">
      <c r="F46" s="155" t="str">
        <f>"Total Cost ("&amp;FLU_LU!$D$79&amp;")"</f>
        <v>Total Cost (GOZ)</v>
      </c>
      <c r="I46" s="68" t="s">
        <v>166</v>
      </c>
      <c r="J46" s="135">
        <f>IF(G27=2,J28*J38,(J28*J38)*FLU_XCHANGE_YR1)</f>
        <v>1500000</v>
      </c>
    </row>
    <row r="47" spans="2:10">
      <c r="I47" s="68" t="s">
        <v>167</v>
      </c>
      <c r="J47" s="135">
        <f>IF(G27=2,J29*J38,(J29*J38)*FLU_XCHANGE_YR1)</f>
        <v>2250000</v>
      </c>
    </row>
    <row r="48" spans="2:10" ht="15" thickBot="1">
      <c r="C48" s="55"/>
      <c r="D48" s="55"/>
      <c r="E48" s="55"/>
      <c r="F48" s="55"/>
      <c r="G48" s="55"/>
      <c r="H48" s="55"/>
      <c r="I48" s="55"/>
      <c r="J48" s="55"/>
    </row>
    <row r="50" spans="2:10" ht="15.6">
      <c r="B50" s="12"/>
      <c r="C50" s="171" t="str">
        <f>FLU_LU!$D$372</f>
        <v xml:space="preserve">Supportive Supervision Visit From   PHD (district) to facility </v>
      </c>
    </row>
    <row r="53" spans="2:10" ht="57.6">
      <c r="C53" s="94" t="s">
        <v>194</v>
      </c>
      <c r="D53" s="111" t="s">
        <v>439</v>
      </c>
      <c r="G53" s="152" t="s">
        <v>117</v>
      </c>
      <c r="H53" s="72" t="s">
        <v>476</v>
      </c>
      <c r="J53" s="72" t="s">
        <v>477</v>
      </c>
    </row>
    <row r="54" spans="2:10">
      <c r="G54" s="31">
        <v>2</v>
      </c>
    </row>
    <row r="55" spans="2:10">
      <c r="F55" s="152" t="s">
        <v>189</v>
      </c>
      <c r="H55" s="95">
        <f ca="1">IF(G54=2,TRAINING_BA!L118,TRAINING_BA!N118)</f>
        <v>850</v>
      </c>
      <c r="I55" s="159" t="str">
        <f ca="1">OFFSET(FLU_LU!$D$77,G54,0)</f>
        <v>GOZ</v>
      </c>
      <c r="J55" s="115">
        <v>22011</v>
      </c>
    </row>
    <row r="56" spans="2:10">
      <c r="F56" s="152" t="s">
        <v>190</v>
      </c>
      <c r="H56" s="95">
        <f ca="1">IF(G54=2,TRAINING_BA!M118,TRAINING_BA!O118)</f>
        <v>850</v>
      </c>
      <c r="I56" s="159" t="str">
        <f ca="1">OFFSET(FLU_LU!$D$77,G54,0)</f>
        <v>GOZ</v>
      </c>
      <c r="J56" s="115">
        <v>40612</v>
      </c>
    </row>
    <row r="58" spans="2:10">
      <c r="D58" s="344" t="str">
        <f>"Go to "&amp;HL_FLU_SME_Detailed_B</f>
        <v xml:space="preserve">Go to Detailed Cost Estimate: Supportive Supervision Visit From   PHD (district) to facility </v>
      </c>
    </row>
    <row r="60" spans="2:10" ht="15.6">
      <c r="D60" s="111" t="s">
        <v>479</v>
      </c>
    </row>
    <row r="61" spans="2:10">
      <c r="F61" s="667"/>
      <c r="G61" s="667"/>
      <c r="H61" s="667"/>
      <c r="I61" s="667"/>
    </row>
    <row r="62" spans="2:10">
      <c r="F62" s="667"/>
      <c r="G62" s="667"/>
      <c r="H62" s="667"/>
      <c r="I62" s="667"/>
    </row>
    <row r="63" spans="2:10">
      <c r="F63" s="667"/>
      <c r="G63" s="667"/>
      <c r="H63" s="667"/>
      <c r="I63" s="667"/>
      <c r="J63" s="12"/>
    </row>
    <row r="65" spans="2:10" ht="15.6">
      <c r="D65" s="111" t="s">
        <v>462</v>
      </c>
      <c r="J65" s="115">
        <v>1</v>
      </c>
    </row>
    <row r="67" spans="2:10" ht="15.6">
      <c r="B67" s="82" t="str">
        <f>"OUTPUT - TOTAL ACTIVITIES COST FOR "&amp;HL_FLU_Training_General_A</f>
        <v>OUTPUT - TOTAL ACTIVITIES COST FOR Public Health Directorate Training</v>
      </c>
    </row>
    <row r="69" spans="2:10">
      <c r="F69" s="155" t="str">
        <f>"Total Cost ("&amp;FLU_LU!$D$78&amp;")"</f>
        <v>Total Cost (USD)</v>
      </c>
      <c r="J69" s="12"/>
    </row>
    <row r="70" spans="2:10">
      <c r="I70" s="68" t="s">
        <v>166</v>
      </c>
      <c r="J70" s="340">
        <f>IF(G54=1,J55*J65,(J55*J65)/FLU_XCHANGE_YR1)</f>
        <v>146.74</v>
      </c>
    </row>
    <row r="71" spans="2:10">
      <c r="I71" s="68" t="s">
        <v>167</v>
      </c>
      <c r="J71" s="340">
        <f>IF(G54=1,J56*J65,(J56*J65)/FLU_XCHANGE_YR1)</f>
        <v>270.74666666666667</v>
      </c>
    </row>
    <row r="73" spans="2:10">
      <c r="F73" s="155" t="str">
        <f>"Total Cost ("&amp;FLU_LU!$D$79&amp;")"</f>
        <v>Total Cost (GOZ)</v>
      </c>
      <c r="I73" s="68" t="s">
        <v>166</v>
      </c>
      <c r="J73" s="135">
        <f>IF(G54=2,J55*J65,(J55*J65)*FLU_XCHANGE_YR1)</f>
        <v>22011</v>
      </c>
    </row>
    <row r="74" spans="2:10">
      <c r="I74" s="68" t="s">
        <v>167</v>
      </c>
      <c r="J74" s="135">
        <f>IF(G54=2,J56*J65,(J56*J65)*FLU_XCHANGE_YR1)</f>
        <v>40612</v>
      </c>
    </row>
    <row r="75" spans="2:10" ht="15" thickBot="1">
      <c r="C75" s="55"/>
      <c r="D75" s="55"/>
      <c r="E75" s="55"/>
      <c r="F75" s="55"/>
      <c r="G75" s="55"/>
      <c r="H75" s="55"/>
      <c r="I75" s="55"/>
      <c r="J75" s="55"/>
    </row>
    <row r="77" spans="2:10" ht="15.6">
      <c r="B77" s="12"/>
      <c r="C77" s="171" t="str">
        <f>FLU_LU!$D$373</f>
        <v>Supervision Category 3</v>
      </c>
    </row>
    <row r="80" spans="2:10" ht="57.6">
      <c r="C80" s="94" t="s">
        <v>194</v>
      </c>
      <c r="D80" s="111" t="s">
        <v>439</v>
      </c>
      <c r="G80" s="152" t="s">
        <v>117</v>
      </c>
      <c r="H80" s="72" t="s">
        <v>476</v>
      </c>
      <c r="J80" s="72" t="s">
        <v>477</v>
      </c>
    </row>
    <row r="81" spans="2:10">
      <c r="G81" s="31">
        <v>2</v>
      </c>
    </row>
    <row r="82" spans="2:10">
      <c r="F82" s="152" t="s">
        <v>189</v>
      </c>
      <c r="H82" s="95">
        <f ca="1">IF(G81=2,TRAINING_BA!L169,TRAINING_BA!N169)</f>
        <v>0</v>
      </c>
      <c r="I82" s="159" t="str">
        <f ca="1">OFFSET(FLU_LU!$D$77,G81,0)</f>
        <v>GOZ</v>
      </c>
      <c r="J82" s="115">
        <v>20000</v>
      </c>
    </row>
    <row r="83" spans="2:10">
      <c r="F83" s="152" t="s">
        <v>190</v>
      </c>
      <c r="H83" s="95">
        <f ca="1">IF(G81=2,TRAINING_BA!M169,TRAINING_BA!O169)</f>
        <v>0</v>
      </c>
      <c r="I83" s="159" t="str">
        <f ca="1">OFFSET(FLU_LU!$D$77,G81,0)</f>
        <v>GOZ</v>
      </c>
      <c r="J83" s="115">
        <v>40000</v>
      </c>
    </row>
    <row r="85" spans="2:10">
      <c r="D85" s="344" t="str">
        <f>"Go to "&amp;HL_FLU_SME_Detailed_C</f>
        <v>Go to Detailed Cost Estimate: Supervision Category 3</v>
      </c>
    </row>
    <row r="87" spans="2:10" ht="15.6">
      <c r="D87" s="111" t="s">
        <v>479</v>
      </c>
    </row>
    <row r="88" spans="2:10">
      <c r="F88" s="667"/>
      <c r="G88" s="667"/>
      <c r="H88" s="667"/>
      <c r="I88" s="667"/>
    </row>
    <row r="89" spans="2:10">
      <c r="F89" s="667"/>
      <c r="G89" s="667"/>
      <c r="H89" s="667"/>
      <c r="I89" s="667"/>
    </row>
    <row r="90" spans="2:10">
      <c r="F90" s="667"/>
      <c r="G90" s="667"/>
      <c r="H90" s="667"/>
      <c r="I90" s="667"/>
      <c r="J90" s="12"/>
    </row>
    <row r="92" spans="2:10" ht="15.6">
      <c r="D92" s="111" t="s">
        <v>462</v>
      </c>
      <c r="J92" s="115">
        <v>1</v>
      </c>
    </row>
    <row r="94" spans="2:10" ht="15.6">
      <c r="B94" s="82" t="str">
        <f>"OUTPUT - TOTAL ACTIVITIES COST FOR "&amp;HL_FLU_Training_General_A</f>
        <v>OUTPUT - TOTAL ACTIVITIES COST FOR Public Health Directorate Training</v>
      </c>
    </row>
    <row r="96" spans="2:10">
      <c r="F96" s="155" t="str">
        <f>"Total Cost ("&amp;FLU_LU!$D$78&amp;")"</f>
        <v>Total Cost (USD)</v>
      </c>
      <c r="J96" s="12"/>
    </row>
    <row r="97" spans="3:10">
      <c r="I97" s="68" t="s">
        <v>166</v>
      </c>
      <c r="J97" s="340">
        <f>IF(G81=1,J82*J92,(J82*J92)/FLU_XCHANGE_YR1)</f>
        <v>133.33333333333334</v>
      </c>
    </row>
    <row r="98" spans="3:10">
      <c r="I98" s="68" t="s">
        <v>167</v>
      </c>
      <c r="J98" s="340">
        <f>IF(G81=1,J83*J92,(J83*J92)/FLU_XCHANGE_YR1)</f>
        <v>266.66666666666669</v>
      </c>
    </row>
    <row r="100" spans="3:10">
      <c r="F100" s="155" t="str">
        <f>"Total Cost ("&amp;FLU_LU!$D$79&amp;")"</f>
        <v>Total Cost (GOZ)</v>
      </c>
      <c r="I100" s="68" t="s">
        <v>166</v>
      </c>
      <c r="J100" s="135">
        <f>IF(G81=2,J82*J92,(J82*J92)*FLU_XCHANGE_YR1)</f>
        <v>20000</v>
      </c>
    </row>
    <row r="101" spans="3:10">
      <c r="I101" s="68" t="s">
        <v>167</v>
      </c>
      <c r="J101" s="135">
        <f>IF(G81=2,J83*J92,(J83*J92)*FLU_XCHANGE_YR1)</f>
        <v>40000</v>
      </c>
    </row>
    <row r="102" spans="3:10" ht="15" thickBot="1">
      <c r="C102" s="55"/>
      <c r="D102" s="55"/>
      <c r="E102" s="55"/>
      <c r="F102" s="55"/>
      <c r="G102" s="55"/>
      <c r="H102" s="55"/>
      <c r="I102" s="55"/>
      <c r="J102" s="55"/>
    </row>
  </sheetData>
  <mergeCells count="14">
    <mergeCell ref="H18:I18"/>
    <mergeCell ref="H16:I16"/>
    <mergeCell ref="H17:I17"/>
    <mergeCell ref="B3:E3"/>
    <mergeCell ref="D31:F31"/>
    <mergeCell ref="F63:I63"/>
    <mergeCell ref="F88:I88"/>
    <mergeCell ref="F89:I89"/>
    <mergeCell ref="F90:I90"/>
    <mergeCell ref="F34:I34"/>
    <mergeCell ref="F35:I35"/>
    <mergeCell ref="F36:I36"/>
    <mergeCell ref="F61:I61"/>
    <mergeCell ref="F62:I62"/>
  </mergeCells>
  <dataValidations count="2">
    <dataValidation type="custom" showErrorMessage="1" errorTitle="Invalid Assumption" error="Assumption must be a number." sqref="J92 J82:J83 J65 J55:J56 J38 J28:J29" xr:uid="{00000000-0002-0000-1400-000000000000}">
      <formula1>NOT(ISERROR(J28/1))</formula1>
    </dataValidation>
    <dataValidation type="whole" showDropDown="1" showErrorMessage="1" errorTitle="Drop Down Box Cell Link" error="The value in a drop down box cell link must be a whole number within the control's lookup range rows." sqref="G27 G81 G54" xr:uid="{00000000-0002-0000-1400-000001000000}">
      <formula1>1</formula1>
      <formula2>ROWS(LU_FLU_Curr_Code)</formula2>
    </dataValidation>
  </dataValidations>
  <hyperlinks>
    <hyperlink ref="D58" location="HL_FLU_SME_Detailed_B" tooltip="Click to follow hyperlink." display="HL_FLU_SME_Detailed_B" xr:uid="{00000000-0004-0000-1400-000000000000}"/>
    <hyperlink ref="D85" location="HL_FLU_SME_Detailed_C" tooltip="Click to follow hyperlink." display="HL_FLU_SME_Detailed_C" xr:uid="{00000000-0004-0000-1400-000001000000}"/>
    <hyperlink ref="D31:F31" location="HL_FLU_SME_Detailed_A" tooltip="Click to follow hyperlink." display="HL_FLU_SME_Detailed_A" xr:uid="{00000000-0004-0000-1400-000002000000}"/>
    <hyperlink ref="C4" location="HL_Sheet_Main_25" tooltip="Go to Next Sheet" display="HL_Sheet_Main_25" xr:uid="{00000000-0004-0000-1400-000003000000}"/>
    <hyperlink ref="A4" location="$B$10" tooltip="Go to Top of Sheet" display="$B$10" xr:uid="{00000000-0004-0000-1400-000004000000}"/>
    <hyperlink ref="B4" location="HL_Sheet_Main_67" tooltip="Go to Previous Sheet" display="HL_Sheet_Main_67" xr:uid="{00000000-0004-0000-1400-000005000000}"/>
    <hyperlink ref="B3" location="HL_Home" tooltip="Go to Table of Contents" display="HL_Home" xr:uid="{00000000-0004-0000-1400-000006000000}"/>
    <hyperlink ref="D4" location="HL_Err_Chk" tooltip="Go to Error Checks" display="HL_Err_Chk" xr:uid="{00000000-0004-0000-1400-000007000000}"/>
    <hyperlink ref="E4" location="HL_Sens_Chk" tooltip="Go to Sensitivity Checks" display="HL_Sens_Chk" xr:uid="{00000000-0004-0000-1400-000008000000}"/>
    <hyperlink ref="F4" location="HL_Alt_Chk" tooltip="Go to Alert Checks" display="HL_Alt_Chk" xr:uid="{00000000-0004-0000-1400-000009000000}"/>
  </hyperlinks>
  <pageMargins left="0.4" right="0.4" top="0.6" bottom="1" header="0" footer="0.3"/>
  <pageSetup orientation="landscape" horizontalDpi="4294967292" verticalDpi="0" r:id="rId1"/>
  <headerFooter>
    <oddFooter>&amp;L&amp;F
&amp;A
Printed: &amp;T on &amp;D&amp;C&amp;",Bold"Sheet l.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84" r:id="rId4" name="bpmDropDownFLU170">
              <controlPr defaultSize="0" autoFill="0" autoPict="0">
                <anchor mov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993285" r:id="rId5" name="bpmDropDownFLU171">
              <controlPr defaultSize="0" autoFill="0" autoPict="0">
                <anchor mov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993286" r:id="rId6" name="bpmDropDownFLU172">
              <controlPr defaultSize="0" autoFill="0" autoPict="0">
                <anchor moveWithCells="1">
                  <from>
                    <xdr:col>6</xdr:col>
                    <xdr:colOff>0</xdr:colOff>
                    <xdr:row>80</xdr:row>
                    <xdr:rowOff>0</xdr:rowOff>
                  </from>
                  <to>
                    <xdr:col>7</xdr:col>
                    <xdr:colOff>0</xdr:colOff>
                    <xdr:row>81</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9">
    <tabColor indexed="12"/>
    <pageSetUpPr autoPageBreaks="0"/>
  </sheetPr>
  <dimension ref="A1:N217"/>
  <sheetViews>
    <sheetView showGridLines="0" zoomScaleNormal="100" workbookViewId="0">
      <pane xSplit="1" ySplit="9" topLeftCell="B10" activePane="bottomRight" state="frozenSplit"/>
      <selection pane="topRight" activeCell="B1" sqref="B1"/>
      <selection pane="bottomLeft" activeCell="A12" sqref="A12"/>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0" width="15.6640625" style="134" customWidth="1"/>
    <col min="11" max="16384" width="11.6640625" style="134"/>
  </cols>
  <sheetData>
    <row r="1" spans="1:14" ht="21">
      <c r="B1" s="46" t="s">
        <v>512</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ht="15.6">
      <c r="B12" s="111" t="s">
        <v>345</v>
      </c>
    </row>
    <row r="14" spans="1:14" ht="15.6">
      <c r="C14" s="111" t="s">
        <v>445</v>
      </c>
      <c r="D14" s="152" t="s">
        <v>731</v>
      </c>
    </row>
    <row r="15" spans="1:14">
      <c r="F15" s="152" t="s">
        <v>444</v>
      </c>
      <c r="G15" s="730" t="s">
        <v>600</v>
      </c>
      <c r="H15" s="730"/>
      <c r="I15" s="730"/>
    </row>
    <row r="16" spans="1:14" s="23" customFormat="1">
      <c r="F16" s="151" t="s">
        <v>728</v>
      </c>
      <c r="G16" s="667" t="s">
        <v>732</v>
      </c>
      <c r="H16" s="667"/>
      <c r="I16" s="667"/>
    </row>
    <row r="17" spans="3:10" s="23" customFormat="1">
      <c r="F17" s="151" t="s">
        <v>729</v>
      </c>
      <c r="G17" s="667" t="s">
        <v>732</v>
      </c>
      <c r="H17" s="667"/>
      <c r="I17" s="667"/>
    </row>
    <row r="18" spans="3:10" s="23" customFormat="1">
      <c r="F18" s="151" t="s">
        <v>730</v>
      </c>
      <c r="G18" s="667" t="s">
        <v>732</v>
      </c>
      <c r="H18" s="667"/>
      <c r="I18" s="667"/>
    </row>
    <row r="19" spans="3:10" s="23" customFormat="1"/>
    <row r="20" spans="3:10" s="23" customFormat="1">
      <c r="D20" s="152" t="s">
        <v>737</v>
      </c>
    </row>
    <row r="21" spans="3:10" s="23" customFormat="1">
      <c r="F21" s="152" t="s">
        <v>736</v>
      </c>
      <c r="G21" s="739" t="s">
        <v>600</v>
      </c>
      <c r="H21" s="739"/>
      <c r="I21" s="739"/>
    </row>
    <row r="22" spans="3:10" s="23" customFormat="1">
      <c r="F22" s="151" t="s">
        <v>738</v>
      </c>
      <c r="G22" s="667" t="s">
        <v>741</v>
      </c>
      <c r="H22" s="667"/>
      <c r="I22" s="667"/>
    </row>
    <row r="23" spans="3:10" s="23" customFormat="1">
      <c r="F23" s="151" t="s">
        <v>739</v>
      </c>
      <c r="G23" s="667" t="s">
        <v>742</v>
      </c>
      <c r="H23" s="667"/>
      <c r="I23" s="667"/>
    </row>
    <row r="24" spans="3:10" s="23" customFormat="1">
      <c r="F24" s="151" t="s">
        <v>740</v>
      </c>
      <c r="G24" s="667" t="s">
        <v>732</v>
      </c>
      <c r="H24" s="667"/>
      <c r="I24" s="667"/>
    </row>
    <row r="25" spans="3:10" s="23" customFormat="1"/>
    <row r="26" spans="3:10" ht="15.6">
      <c r="C26" s="111" t="s">
        <v>483</v>
      </c>
      <c r="D26" s="152" t="s">
        <v>832</v>
      </c>
    </row>
    <row r="27" spans="3:10">
      <c r="C27" s="20"/>
      <c r="D27" s="20"/>
      <c r="E27" s="20"/>
      <c r="F27" s="20"/>
      <c r="G27" s="20"/>
      <c r="H27" s="20"/>
      <c r="I27" s="20"/>
    </row>
    <row r="29" spans="3:10" ht="15.6">
      <c r="C29" s="171" t="str">
        <f>FLU_LU!$D$378</f>
        <v>Other Recurrent Activity 1</v>
      </c>
    </row>
    <row r="32" spans="3:10" ht="57.6">
      <c r="C32" s="94" t="s">
        <v>194</v>
      </c>
      <c r="D32" s="111" t="s">
        <v>439</v>
      </c>
      <c r="G32" s="152" t="s">
        <v>117</v>
      </c>
      <c r="H32" s="72" t="s">
        <v>476</v>
      </c>
      <c r="J32" s="72" t="s">
        <v>477</v>
      </c>
    </row>
    <row r="33" spans="2:10">
      <c r="G33" s="31">
        <v>2</v>
      </c>
    </row>
    <row r="34" spans="2:10">
      <c r="F34" s="152" t="s">
        <v>189</v>
      </c>
      <c r="H34" s="95">
        <f ca="1">IF(G33=2,OTHER_BA!L72,OTHER_BA!N72)</f>
        <v>56501</v>
      </c>
      <c r="I34" s="159" t="str">
        <f ca="1">OFFSET(FLU_LU!$D$77,G33,0)</f>
        <v>GOZ</v>
      </c>
      <c r="J34" s="115">
        <v>0</v>
      </c>
    </row>
    <row r="35" spans="2:10">
      <c r="F35" s="152" t="s">
        <v>190</v>
      </c>
      <c r="H35" s="95">
        <f ca="1">IF(G33=2,OTHER_BA!M72,OTHER_BA!O72)</f>
        <v>98394.581818181818</v>
      </c>
      <c r="I35" s="159" t="str">
        <f ca="1">OFFSET(FLU_LU!$D$77,G33,0)</f>
        <v>GOZ</v>
      </c>
      <c r="J35" s="115">
        <v>0</v>
      </c>
    </row>
    <row r="37" spans="2:10">
      <c r="D37" s="150" t="str">
        <f>"Go to Detailed Cost Worksheet "&amp;HL_FLU_Other_Recurrent_Activity_Detail_A</f>
        <v>Go to Detailed Cost Worksheet Detailed Cost Estimate: Other Recurrent Activity 1</v>
      </c>
      <c r="E37" s="23"/>
      <c r="F37" s="23"/>
    </row>
    <row r="39" spans="2:10" ht="15.6">
      <c r="D39" s="111" t="s">
        <v>480</v>
      </c>
    </row>
    <row r="40" spans="2:10">
      <c r="F40" s="667"/>
      <c r="G40" s="667"/>
      <c r="H40" s="667"/>
      <c r="I40" s="667"/>
    </row>
    <row r="41" spans="2:10">
      <c r="F41" s="667"/>
      <c r="G41" s="667"/>
      <c r="H41" s="667"/>
      <c r="I41" s="667"/>
    </row>
    <row r="42" spans="2:10">
      <c r="F42" s="667"/>
      <c r="G42" s="667"/>
      <c r="H42" s="667"/>
      <c r="I42" s="667"/>
      <c r="J42" s="23"/>
    </row>
    <row r="44" spans="2:10" ht="15.6">
      <c r="D44" s="111" t="s">
        <v>462</v>
      </c>
      <c r="J44" s="115">
        <v>1</v>
      </c>
    </row>
    <row r="46" spans="2:10" ht="15.6">
      <c r="B46" s="82" t="str">
        <f>"OUTPUT - TOTAL ACTIVITIES COST FOR "&amp;HL_FLU_Other_Recurrent_Activity_1</f>
        <v>OUTPUT - TOTAL ACTIVITIES COST FOR Other Recurrent Activity 1</v>
      </c>
    </row>
    <row r="48" spans="2:10">
      <c r="F48" s="155" t="str">
        <f>"Total Cost ("&amp;FLU_LU!$D$78&amp;")"</f>
        <v>Total Cost (USD)</v>
      </c>
      <c r="J48" s="23"/>
    </row>
    <row r="49" spans="2:10">
      <c r="I49" s="68" t="s">
        <v>166</v>
      </c>
      <c r="J49" s="343">
        <f>IF(G33=1,J34*J44,(J34*J$44)/FLU_XCHANGE_YR1)</f>
        <v>0</v>
      </c>
    </row>
    <row r="50" spans="2:10">
      <c r="I50" s="68" t="s">
        <v>167</v>
      </c>
      <c r="J50" s="343">
        <f>IF(G33=1,J35*J44,(J35*J$44)/FLU_XCHANGE_YR1)</f>
        <v>0</v>
      </c>
    </row>
    <row r="52" spans="2:10">
      <c r="F52" s="155" t="str">
        <f>"Total Cost ("&amp;FLU_LU!$D$79&amp;")"</f>
        <v>Total Cost (GOZ)</v>
      </c>
      <c r="I52" s="68" t="s">
        <v>166</v>
      </c>
      <c r="J52" s="95">
        <f>IF(G33=2,J34*J44,(J34*J$44)*FLU_XCHANGE_YR1)</f>
        <v>0</v>
      </c>
    </row>
    <row r="53" spans="2:10">
      <c r="I53" s="68" t="s">
        <v>167</v>
      </c>
      <c r="J53" s="95">
        <f>IF(G33=2,J35*J44,(J35*J$44)*FLU_XCHANGE_YR1)</f>
        <v>0</v>
      </c>
    </row>
    <row r="54" spans="2:10" ht="15" thickBot="1">
      <c r="C54" s="55"/>
      <c r="D54" s="55"/>
      <c r="E54" s="55"/>
      <c r="F54" s="55"/>
      <c r="G54" s="55"/>
      <c r="H54" s="55"/>
      <c r="I54" s="55"/>
      <c r="J54" s="55"/>
    </row>
    <row r="56" spans="2:10" ht="15.6">
      <c r="B56" s="23"/>
      <c r="C56" s="171" t="str">
        <f>FLU_LU!$D$379</f>
        <v>Other Recurrent Activity 2</v>
      </c>
    </row>
    <row r="59" spans="2:10" ht="57.6">
      <c r="C59" s="94" t="s">
        <v>194</v>
      </c>
      <c r="D59" s="111" t="s">
        <v>439</v>
      </c>
      <c r="G59" s="152" t="s">
        <v>117</v>
      </c>
      <c r="H59" s="72" t="s">
        <v>476</v>
      </c>
      <c r="J59" s="72" t="s">
        <v>477</v>
      </c>
    </row>
    <row r="60" spans="2:10">
      <c r="G60" s="31">
        <v>1</v>
      </c>
    </row>
    <row r="61" spans="2:10">
      <c r="F61" s="152" t="s">
        <v>189</v>
      </c>
      <c r="H61" s="95">
        <f ca="1">IF(G60=2,OTHER_BA!L138,OTHER_BA!N138)</f>
        <v>36.673333333333332</v>
      </c>
      <c r="I61" s="159" t="str">
        <f ca="1">OFFSET(FLU_LU!$D$77,G60,0)</f>
        <v>USD</v>
      </c>
      <c r="J61" s="115">
        <v>0</v>
      </c>
    </row>
    <row r="62" spans="2:10">
      <c r="F62" s="152" t="s">
        <v>190</v>
      </c>
      <c r="H62" s="95">
        <f ca="1">IF(G60=2,OTHER_BA!M138,OTHER_BA!O138)</f>
        <v>36.706666666666663</v>
      </c>
      <c r="I62" s="159" t="str">
        <f ca="1">OFFSET(FLU_LU!$D$77,G60,0)</f>
        <v>USD</v>
      </c>
      <c r="J62" s="115">
        <v>0</v>
      </c>
    </row>
    <row r="64" spans="2:10">
      <c r="D64" s="150" t="str">
        <f>"Go to Detailed Cost Worksheet "&amp;HL_FLU_Other_Recurrent_Activity_Detail_B</f>
        <v>Go to Detailed Cost Worksheet Detailed Cost Estimate: Other Recurrent Activity 2</v>
      </c>
    </row>
    <row r="66" spans="2:10" ht="15.6">
      <c r="D66" s="111" t="s">
        <v>480</v>
      </c>
    </row>
    <row r="67" spans="2:10">
      <c r="F67" s="667"/>
      <c r="G67" s="667"/>
      <c r="H67" s="667"/>
      <c r="I67" s="667"/>
    </row>
    <row r="68" spans="2:10">
      <c r="F68" s="667"/>
      <c r="G68" s="667"/>
      <c r="H68" s="667"/>
      <c r="I68" s="667"/>
    </row>
    <row r="69" spans="2:10">
      <c r="F69" s="667"/>
      <c r="G69" s="667"/>
      <c r="H69" s="667"/>
      <c r="I69" s="667"/>
      <c r="J69" s="23"/>
    </row>
    <row r="71" spans="2:10" ht="15.6">
      <c r="D71" s="111" t="s">
        <v>462</v>
      </c>
      <c r="J71" s="115">
        <v>1</v>
      </c>
    </row>
    <row r="73" spans="2:10" ht="15.6">
      <c r="B73" s="82" t="str">
        <f>"OUTPUT - TOTAL ACTIVITIES COST FOR "&amp;HL_FLU_Other_Recurrent_Activity_B</f>
        <v>OUTPUT - TOTAL ACTIVITIES COST FOR Other Recurrent Activity 2</v>
      </c>
    </row>
    <row r="75" spans="2:10">
      <c r="F75" s="155" t="str">
        <f>"Total Cost ("&amp;FLU_LU!$D$78&amp;")"</f>
        <v>Total Cost (USD)</v>
      </c>
      <c r="J75" s="23"/>
    </row>
    <row r="76" spans="2:10">
      <c r="I76" s="68" t="s">
        <v>166</v>
      </c>
      <c r="J76" s="340">
        <f>IF(G60=1,J61*J71,(J61*J71)/FLU_XCHANGE_YR1)</f>
        <v>0</v>
      </c>
    </row>
    <row r="77" spans="2:10">
      <c r="I77" s="68" t="s">
        <v>167</v>
      </c>
      <c r="J77" s="340">
        <f>IF(G60=1,J62*J71,(J62*J71)/FLU_XCHANGE_YR1)</f>
        <v>0</v>
      </c>
    </row>
    <row r="79" spans="2:10">
      <c r="F79" s="155" t="str">
        <f>"Total Cost ("&amp;FLU_LU!$D$79&amp;")"</f>
        <v>Total Cost (GOZ)</v>
      </c>
      <c r="I79" s="68" t="s">
        <v>166</v>
      </c>
      <c r="J79" s="135">
        <f>IF(G60=2,J61*J71,(J61*J71)*FLU_XCHANGE_YR1)</f>
        <v>0</v>
      </c>
    </row>
    <row r="80" spans="2:10">
      <c r="I80" s="68" t="s">
        <v>167</v>
      </c>
      <c r="J80" s="135">
        <f>IF(G60=2,J62*J71,(J62*J$44)*FLU_XCHANGE_YR1)</f>
        <v>0</v>
      </c>
    </row>
    <row r="81" spans="2:10" ht="15" thickBot="1">
      <c r="C81" s="55"/>
      <c r="D81" s="55"/>
      <c r="E81" s="55"/>
      <c r="F81" s="55"/>
      <c r="G81" s="55"/>
      <c r="H81" s="55"/>
      <c r="I81" s="55"/>
      <c r="J81" s="55"/>
    </row>
    <row r="83" spans="2:10" ht="15.6">
      <c r="B83" s="23"/>
      <c r="C83" s="171" t="str">
        <f>FLU_LU!$D$380</f>
        <v>Other Recurrent Activity 3</v>
      </c>
    </row>
    <row r="86" spans="2:10" ht="57.6">
      <c r="C86" s="94" t="s">
        <v>194</v>
      </c>
      <c r="D86" s="111" t="s">
        <v>439</v>
      </c>
      <c r="G86" s="152" t="s">
        <v>117</v>
      </c>
      <c r="H86" s="72" t="s">
        <v>476</v>
      </c>
      <c r="J86" s="72" t="s">
        <v>477</v>
      </c>
    </row>
    <row r="87" spans="2:10">
      <c r="G87" s="31">
        <v>2</v>
      </c>
    </row>
    <row r="88" spans="2:10">
      <c r="F88" s="152" t="s">
        <v>189</v>
      </c>
      <c r="H88" s="95">
        <f ca="1">IF(G87=2,OTHER_BA!L204,OTHER_BA!N204)</f>
        <v>30</v>
      </c>
      <c r="I88" s="159" t="str">
        <f ca="1">OFFSET(FLU_LU!$D$77,G87,0)</f>
        <v>GOZ</v>
      </c>
      <c r="J88" s="115">
        <v>0</v>
      </c>
    </row>
    <row r="89" spans="2:10">
      <c r="F89" s="152" t="s">
        <v>190</v>
      </c>
      <c r="H89" s="95">
        <f ca="1">IF(G87=2,OTHER_BA!M204,OTHER_BA!O204)</f>
        <v>16486.857818181819</v>
      </c>
      <c r="I89" s="159" t="str">
        <f ca="1">OFFSET(FLU_LU!$D$77,G87,0)</f>
        <v>GOZ</v>
      </c>
      <c r="J89" s="115">
        <v>0</v>
      </c>
    </row>
    <row r="91" spans="2:10">
      <c r="D91" s="150" t="str">
        <f>"Go to Detailed Costing Worksheet "&amp;HL_FLU_Other_Recurrent_Activity_Detail_C</f>
        <v>Go to Detailed Costing Worksheet Detailed Cost Estimate: Other Recurrent Activity 3</v>
      </c>
    </row>
    <row r="93" spans="2:10" ht="15.6">
      <c r="D93" s="111" t="s">
        <v>480</v>
      </c>
    </row>
    <row r="94" spans="2:10">
      <c r="F94" s="667"/>
      <c r="G94" s="667"/>
      <c r="H94" s="667"/>
      <c r="I94" s="667"/>
    </row>
    <row r="95" spans="2:10">
      <c r="F95" s="667"/>
      <c r="G95" s="667"/>
      <c r="H95" s="667"/>
      <c r="I95" s="667"/>
    </row>
    <row r="96" spans="2:10">
      <c r="F96" s="667"/>
      <c r="G96" s="667"/>
      <c r="H96" s="667"/>
      <c r="I96" s="667"/>
      <c r="J96" s="12"/>
    </row>
    <row r="98" spans="2:10" ht="15.6">
      <c r="D98" s="111" t="s">
        <v>462</v>
      </c>
      <c r="J98" s="115">
        <v>1</v>
      </c>
    </row>
    <row r="100" spans="2:10" ht="15.6">
      <c r="B100" s="82" t="str">
        <f>"OUTPUT - TOTAL ACTIVITIES COST FOR "&amp;HL_FLU_Other_Recurrent_Activity_C</f>
        <v>OUTPUT - TOTAL ACTIVITIES COST FOR Other Recurrent Activity 3</v>
      </c>
    </row>
    <row r="102" spans="2:10">
      <c r="F102" s="155" t="str">
        <f>"Total Cost ("&amp;FLU_LU!$D$78&amp;")"</f>
        <v>Total Cost (USD)</v>
      </c>
      <c r="J102" s="12"/>
    </row>
    <row r="103" spans="2:10">
      <c r="I103" s="68" t="s">
        <v>166</v>
      </c>
      <c r="J103" s="340">
        <f>IF(G87=1,J88*J98,(J88*J98)/FLU_XCHANGE_YR1)</f>
        <v>0</v>
      </c>
    </row>
    <row r="104" spans="2:10">
      <c r="I104" s="68" t="s">
        <v>167</v>
      </c>
      <c r="J104" s="340">
        <f>IF(G87=1,J89*J98,(J89*J98)/FLU_XCHANGE_YR1)</f>
        <v>0</v>
      </c>
    </row>
    <row r="106" spans="2:10">
      <c r="F106" s="155" t="str">
        <f>"Total Cost ("&amp;FLU_LU!$D$79&amp;")"</f>
        <v>Total Cost (GOZ)</v>
      </c>
      <c r="I106" s="68" t="s">
        <v>166</v>
      </c>
      <c r="J106" s="135">
        <f>IF(G87=2,J88*J98,(J88*J98)*FLU_XCHANGE_YR1)</f>
        <v>0</v>
      </c>
    </row>
    <row r="107" spans="2:10">
      <c r="I107" s="68" t="s">
        <v>167</v>
      </c>
      <c r="J107" s="135">
        <f>IF(G87=2,J89*J98,(J89*J$44)*FLU_XCHANGE_YR1)</f>
        <v>0</v>
      </c>
    </row>
    <row r="108" spans="2:10" ht="15" thickBot="1">
      <c r="C108" s="55"/>
      <c r="D108" s="55"/>
      <c r="E108" s="55"/>
      <c r="F108" s="55"/>
      <c r="G108" s="55"/>
      <c r="H108" s="55"/>
      <c r="I108" s="55"/>
      <c r="J108" s="55"/>
    </row>
    <row r="109" spans="2:10" s="23" customFormat="1"/>
    <row r="110" spans="2:10" s="23" customFormat="1" ht="15.6">
      <c r="C110" s="171" t="str">
        <f>FLU_LU!$D$385</f>
        <v>Vehicle Acquisition</v>
      </c>
    </row>
    <row r="111" spans="2:10" s="23" customFormat="1"/>
    <row r="112" spans="2:10" s="23" customFormat="1"/>
    <row r="113" spans="3:10" s="23" customFormat="1" ht="57.6">
      <c r="C113" s="94" t="s">
        <v>194</v>
      </c>
      <c r="D113" s="111" t="s">
        <v>743</v>
      </c>
      <c r="G113" s="152" t="s">
        <v>117</v>
      </c>
      <c r="H113" s="72" t="s">
        <v>476</v>
      </c>
      <c r="J113" s="72" t="s">
        <v>477</v>
      </c>
    </row>
    <row r="114" spans="3:10" s="23" customFormat="1">
      <c r="G114" s="31">
        <v>1</v>
      </c>
    </row>
    <row r="115" spans="3:10" s="23" customFormat="1">
      <c r="F115" s="152" t="s">
        <v>189</v>
      </c>
      <c r="H115" s="95">
        <f ca="1">IF(G114=2,OTHER_BA!J218,OTHER_BA!L218)</f>
        <v>21540.3</v>
      </c>
      <c r="I115" s="159" t="str">
        <f ca="1">OFFSET(FLU_LU!$D$77,G114,0)</f>
        <v>USD</v>
      </c>
      <c r="J115" s="115">
        <v>20000</v>
      </c>
    </row>
    <row r="116" spans="3:10" s="23" customFormat="1">
      <c r="F116" s="152" t="s">
        <v>190</v>
      </c>
      <c r="H116" s="95">
        <f ca="1">IF(G114=2,OTHER_BA!K218,OTHER_BA!M218)</f>
        <v>22000</v>
      </c>
      <c r="I116" s="159" t="str">
        <f ca="1">OFFSET(FLU_LU!$D$77,G114,0)</f>
        <v>USD</v>
      </c>
      <c r="J116" s="115">
        <v>40000</v>
      </c>
    </row>
    <row r="117" spans="3:10" s="61" customFormat="1"/>
    <row r="118" spans="3:10" s="61" customFormat="1">
      <c r="F118" s="152" t="s">
        <v>744</v>
      </c>
      <c r="H118" s="95">
        <f ca="1">IF(G114=2,OTHER_BA!N218,OTHER_BA!P218)</f>
        <v>2812.9124999999999</v>
      </c>
      <c r="I118" s="159" t="str">
        <f ca="1">OFFSET(FLU_LU!$D$77,G114,0)</f>
        <v>USD</v>
      </c>
      <c r="J118" s="115">
        <v>2813</v>
      </c>
    </row>
    <row r="119" spans="3:10" s="23" customFormat="1">
      <c r="F119" s="152" t="s">
        <v>745</v>
      </c>
      <c r="H119" s="95">
        <f ca="1">IF(G114=2,OTHER_BA!O218,OTHER_BA!Q218)</f>
        <v>2900</v>
      </c>
      <c r="I119" s="159" t="str">
        <f ca="1">OFFSET(FLU_LU!$D$77,G114,0)</f>
        <v>USD</v>
      </c>
      <c r="J119" s="115">
        <v>2900</v>
      </c>
    </row>
    <row r="120" spans="3:10" s="61" customFormat="1"/>
    <row r="121" spans="3:10" s="23" customFormat="1">
      <c r="D121" s="150" t="str">
        <f>"Go to Detailed Costing Worksheet "&amp;HL_FLU_Other_Capital_Activity_Detail_A</f>
        <v>Go to Detailed Costing Worksheet Detailed Cost Estimate: Vehicle Acquisition</v>
      </c>
    </row>
    <row r="122" spans="3:10" s="23" customFormat="1"/>
    <row r="123" spans="3:10" s="23" customFormat="1" ht="15.6">
      <c r="D123" s="111" t="s">
        <v>480</v>
      </c>
    </row>
    <row r="124" spans="3:10" s="23" customFormat="1">
      <c r="F124" s="667"/>
      <c r="G124" s="667"/>
      <c r="H124" s="667"/>
      <c r="I124" s="667"/>
    </row>
    <row r="125" spans="3:10" s="23" customFormat="1">
      <c r="F125" s="667"/>
      <c r="G125" s="667"/>
      <c r="H125" s="667"/>
      <c r="I125" s="667"/>
    </row>
    <row r="126" spans="3:10" s="23" customFormat="1">
      <c r="F126" s="667"/>
      <c r="G126" s="667"/>
      <c r="H126" s="667"/>
      <c r="I126" s="667"/>
      <c r="J126" s="12"/>
    </row>
    <row r="127" spans="3:10">
      <c r="J127" s="61"/>
    </row>
    <row r="129" spans="2:10" ht="15.6">
      <c r="B129" s="82" t="str">
        <f>"OUTPUT - TOTAL ACTIVITIES COST FOR "&amp;HL_FLU_Other_Capital_Acquisition_A</f>
        <v>OUTPUT - TOTAL ACTIVITIES COST FOR Vehicle Acquisition</v>
      </c>
    </row>
    <row r="131" spans="2:10">
      <c r="J131" s="12"/>
    </row>
    <row r="132" spans="2:10">
      <c r="F132" s="155" t="str">
        <f>"Total Cost ("&amp;FLU_LU!$D$78&amp;")"</f>
        <v>Total Cost (USD)</v>
      </c>
      <c r="I132" s="68" t="s">
        <v>166</v>
      </c>
      <c r="J132" s="340">
        <f>IF(G114=1,J115,(J115/Cost_Ingredients!$J$21))</f>
        <v>20000</v>
      </c>
    </row>
    <row r="133" spans="2:10">
      <c r="I133" s="68" t="s">
        <v>167</v>
      </c>
      <c r="J133" s="340">
        <f>IF(G114=1,J116,(J116)/Cost_Ingredients!$J$21)</f>
        <v>40000</v>
      </c>
    </row>
    <row r="135" spans="2:10">
      <c r="F135" s="155" t="str">
        <f>"Total Cost ("&amp;FLU_LU!$D$79&amp;")"</f>
        <v>Total Cost (GOZ)</v>
      </c>
      <c r="I135" s="68" t="s">
        <v>166</v>
      </c>
      <c r="J135" s="135">
        <f>IF(G114=2,J115,J115*Cost_Ingredients!$J$21)</f>
        <v>3000000</v>
      </c>
    </row>
    <row r="136" spans="2:10">
      <c r="I136" s="68" t="s">
        <v>167</v>
      </c>
      <c r="J136" s="135">
        <f>IF(G114=2,J116,J116*Cost_Ingredients!$J$21)</f>
        <v>6000000</v>
      </c>
    </row>
    <row r="137" spans="2:10" s="61" customFormat="1"/>
    <row r="138" spans="2:10" s="61" customFormat="1">
      <c r="F138" s="155" t="str">
        <f>"Total Cost - Annualized ("&amp;FLU_LU!$D$78&amp;")"</f>
        <v>Total Cost - Annualized (USD)</v>
      </c>
      <c r="I138" s="68" t="s">
        <v>166</v>
      </c>
      <c r="J138" s="343">
        <f>IF($G$114=1,J118,J118/Cost_Ingredients!$J$21)</f>
        <v>2813</v>
      </c>
    </row>
    <row r="139" spans="2:10" s="61" customFormat="1">
      <c r="I139" s="68" t="s">
        <v>167</v>
      </c>
      <c r="J139" s="225">
        <f>IF($G$114=1,J119,J119/Cost_Ingredients!$J$21)</f>
        <v>2900</v>
      </c>
    </row>
    <row r="140" spans="2:10" s="61" customFormat="1"/>
    <row r="141" spans="2:10" s="61" customFormat="1">
      <c r="F141" s="155" t="str">
        <f>"Total Cost - Annualized ("&amp;FLU_LU!$D$79&amp;")"</f>
        <v>Total Cost - Annualized (GOZ)</v>
      </c>
      <c r="I141" s="68" t="s">
        <v>166</v>
      </c>
      <c r="J141" s="95">
        <f>IF($G$114=2,J118,J118*Cost_Ingredients!$J$21)</f>
        <v>421950</v>
      </c>
    </row>
    <row r="142" spans="2:10" s="61" customFormat="1">
      <c r="I142" s="68" t="s">
        <v>167</v>
      </c>
      <c r="J142" s="95">
        <f>IF($G$114=2,J119,J119*Cost_Ingredients!$J$21)</f>
        <v>435000</v>
      </c>
    </row>
    <row r="143" spans="2:10" ht="15" thickBot="1">
      <c r="C143" s="55"/>
      <c r="D143" s="55"/>
      <c r="E143" s="55"/>
      <c r="F143" s="55"/>
      <c r="G143" s="55"/>
      <c r="H143" s="55"/>
      <c r="I143" s="55"/>
      <c r="J143" s="55"/>
    </row>
    <row r="145" spans="3:10" ht="15.6">
      <c r="C145" s="171" t="str">
        <f>FLU_LU!$D$386</f>
        <v>Other Equipment (not Cold Chain) Acquisition</v>
      </c>
    </row>
    <row r="148" spans="3:10" ht="57.6">
      <c r="C148" s="94" t="s">
        <v>194</v>
      </c>
      <c r="D148" s="111" t="s">
        <v>743</v>
      </c>
      <c r="G148" s="152" t="s">
        <v>117</v>
      </c>
      <c r="H148" s="72" t="s">
        <v>476</v>
      </c>
      <c r="J148" s="72" t="s">
        <v>477</v>
      </c>
    </row>
    <row r="149" spans="3:10">
      <c r="G149" s="31">
        <v>1</v>
      </c>
    </row>
    <row r="150" spans="3:10">
      <c r="F150" s="152" t="s">
        <v>189</v>
      </c>
      <c r="H150" s="95">
        <f ca="1">IF(G149=2,OTHER_BA!J232,OTHER_BA!L232)</f>
        <v>1200</v>
      </c>
      <c r="I150" s="159" t="str">
        <f ca="1">OFFSET(FLU_LU!$D$77,G$149,0)</f>
        <v>USD</v>
      </c>
      <c r="J150" s="115">
        <v>1200</v>
      </c>
    </row>
    <row r="151" spans="3:10">
      <c r="F151" s="152" t="s">
        <v>190</v>
      </c>
      <c r="H151" s="95">
        <f ca="1">IF(G149=2,OTHER_BA!K232,OTHER_BA!M232)</f>
        <v>1200</v>
      </c>
      <c r="I151" s="159" t="str">
        <f ca="1">OFFSET(FLU_LU!$D$77,G$149,0)</f>
        <v>USD</v>
      </c>
      <c r="J151" s="115">
        <v>1568</v>
      </c>
    </row>
    <row r="152" spans="3:10">
      <c r="J152" s="61"/>
    </row>
    <row r="153" spans="3:10" s="61" customFormat="1">
      <c r="F153" s="152" t="s">
        <v>744</v>
      </c>
      <c r="H153" s="135">
        <f ca="1">IF(G149=2,OTHER_BA!N232,OTHER_BA!P232)</f>
        <v>240</v>
      </c>
      <c r="I153" s="159" t="str">
        <f ca="1">OFFSET(FLU_LU!$D$77,G$149,0)</f>
        <v>USD</v>
      </c>
      <c r="J153" s="64">
        <v>240</v>
      </c>
    </row>
    <row r="154" spans="3:10" s="61" customFormat="1">
      <c r="F154" s="152" t="s">
        <v>745</v>
      </c>
      <c r="H154" s="135">
        <f ca="1">IF(G149=2,OTHER_BA!O232,OTHER_BA!Q232)</f>
        <v>240</v>
      </c>
      <c r="I154" s="159" t="str">
        <f ca="1">OFFSET(FLU_LU!$D$77,G$149,0)</f>
        <v>USD</v>
      </c>
      <c r="J154" s="64">
        <v>300</v>
      </c>
    </row>
    <row r="155" spans="3:10" s="61" customFormat="1"/>
    <row r="156" spans="3:10" s="61" customFormat="1"/>
    <row r="157" spans="3:10" s="61" customFormat="1"/>
    <row r="158" spans="3:10">
      <c r="D158" s="150" t="str">
        <f>"Go to Detailed Costing Worksheet "&amp;HL_FLU_Other_Capital_Activity_Detail_B</f>
        <v>Go to Detailed Costing Worksheet Detailed Cost Estimate: Other Equipment (not Cold Chain) Acquisition</v>
      </c>
    </row>
    <row r="160" spans="3:10" ht="15.6">
      <c r="D160" s="111" t="s">
        <v>480</v>
      </c>
    </row>
    <row r="161" spans="2:10">
      <c r="F161" s="667"/>
      <c r="G161" s="667"/>
      <c r="H161" s="667"/>
      <c r="I161" s="667"/>
    </row>
    <row r="162" spans="2:10">
      <c r="F162" s="667"/>
      <c r="G162" s="667"/>
      <c r="H162" s="667"/>
      <c r="I162" s="667"/>
    </row>
    <row r="163" spans="2:10">
      <c r="F163" s="667"/>
      <c r="G163" s="667"/>
      <c r="H163" s="667"/>
      <c r="I163" s="667"/>
      <c r="J163" s="12"/>
    </row>
    <row r="164" spans="2:10">
      <c r="J164" s="61"/>
    </row>
    <row r="165" spans="2:10">
      <c r="G165" s="61"/>
    </row>
    <row r="166" spans="2:10" ht="15.6">
      <c r="B166" s="82" t="str">
        <f>"OUTPUT - TOTAL ACTIVITIES COST FOR "&amp;HL_FLU_Other_Capital_Acquisition_B</f>
        <v>OUTPUT - TOTAL ACTIVITIES COST FOR Other Equipment (not Cold Chain) Acquisition</v>
      </c>
      <c r="G166" s="61"/>
    </row>
    <row r="168" spans="2:10">
      <c r="F168" s="155" t="str">
        <f>"Total Cost ("&amp;FLU_LU!$D$78&amp;")"</f>
        <v>Total Cost (USD)</v>
      </c>
      <c r="J168" s="12"/>
    </row>
    <row r="169" spans="2:10">
      <c r="I169" s="68" t="s">
        <v>166</v>
      </c>
      <c r="J169" s="340">
        <f>IF($G$149=1,J150,J150/Cost_Ingredients!$J$21)</f>
        <v>1200</v>
      </c>
    </row>
    <row r="170" spans="2:10">
      <c r="I170" s="68" t="s">
        <v>167</v>
      </c>
      <c r="J170" s="163">
        <f>IF($G$149=1,J151,J151/Cost_Ingredients!$J$21)</f>
        <v>1568</v>
      </c>
    </row>
    <row r="172" spans="2:10">
      <c r="F172" s="155" t="str">
        <f>"Total Cost ("&amp;FLU_LU!$D$79&amp;")"</f>
        <v>Total Cost (GOZ)</v>
      </c>
      <c r="I172" s="68" t="s">
        <v>166</v>
      </c>
      <c r="J172" s="135">
        <f>IF($G$149=2,J150,J150*Cost_Ingredients!$J$21)</f>
        <v>180000</v>
      </c>
    </row>
    <row r="173" spans="2:10">
      <c r="I173" s="68" t="s">
        <v>167</v>
      </c>
      <c r="J173" s="135">
        <f>IF(G149=2,J151,J151*Cost_Ingredients!$J$21)</f>
        <v>235200</v>
      </c>
    </row>
    <row r="174" spans="2:10" s="61" customFormat="1"/>
    <row r="175" spans="2:10" s="61" customFormat="1">
      <c r="F175" s="155" t="str">
        <f>"Total Cost - Annualized ("&amp;FLU_LU!$D$78&amp;")"</f>
        <v>Total Cost - Annualized (USD)</v>
      </c>
      <c r="I175" s="68" t="s">
        <v>166</v>
      </c>
      <c r="J175" s="343">
        <f>IF($G$149=1,J153,J153/Cost_Ingredients!$J$21)</f>
        <v>240</v>
      </c>
    </row>
    <row r="176" spans="2:10" s="61" customFormat="1">
      <c r="I176" s="68" t="s">
        <v>167</v>
      </c>
      <c r="J176" s="343">
        <f>IF($G$149=1,J154,J154/Cost_Ingredients!$J$21)</f>
        <v>300</v>
      </c>
    </row>
    <row r="177" spans="3:10" s="61" customFormat="1"/>
    <row r="178" spans="3:10" s="61" customFormat="1">
      <c r="F178" s="155" t="str">
        <f>"Total Cost - Annualized ("&amp;FLU_LU!$D$79&amp;")"</f>
        <v>Total Cost - Annualized (GOZ)</v>
      </c>
      <c r="I178" s="68" t="s">
        <v>166</v>
      </c>
      <c r="J178" s="95">
        <f>IF($G$149=2,J153,J153*Cost_Ingredients!$J$21)</f>
        <v>36000</v>
      </c>
    </row>
    <row r="179" spans="3:10" s="61" customFormat="1">
      <c r="I179" s="68" t="s">
        <v>167</v>
      </c>
      <c r="J179" s="95">
        <f>IF($G$149=2,J154,J154*Cost_Ingredients!$J$21)</f>
        <v>45000</v>
      </c>
    </row>
    <row r="180" spans="3:10" ht="15" thickBot="1">
      <c r="C180" s="55"/>
      <c r="D180" s="55"/>
      <c r="E180" s="55"/>
      <c r="F180" s="55"/>
      <c r="G180" s="55"/>
      <c r="H180" s="55"/>
      <c r="I180" s="55"/>
      <c r="J180" s="55"/>
    </row>
    <row r="182" spans="3:10" ht="15.6">
      <c r="C182" s="171" t="str">
        <f>FLU_LU!$D$387</f>
        <v>Other Capital Costs not elsewhere included</v>
      </c>
    </row>
    <row r="185" spans="3:10" ht="57.6">
      <c r="C185" s="94" t="s">
        <v>194</v>
      </c>
      <c r="D185" s="111" t="s">
        <v>743</v>
      </c>
      <c r="G185" s="152" t="s">
        <v>117</v>
      </c>
      <c r="H185" s="72" t="s">
        <v>476</v>
      </c>
      <c r="J185" s="72" t="s">
        <v>477</v>
      </c>
    </row>
    <row r="186" spans="3:10">
      <c r="G186" s="31">
        <v>1</v>
      </c>
    </row>
    <row r="187" spans="3:10">
      <c r="F187" s="152" t="s">
        <v>189</v>
      </c>
      <c r="H187" s="95">
        <f ca="1">IF(G186=2,OTHER_BA!J245,OTHER_BA!L245)</f>
        <v>2000</v>
      </c>
      <c r="I187" s="159" t="str">
        <f ca="1">OFFSET(FLU_LU!$D$77,G186,0)</f>
        <v>USD</v>
      </c>
      <c r="J187" s="115">
        <v>2000</v>
      </c>
    </row>
    <row r="188" spans="3:10">
      <c r="F188" s="152" t="s">
        <v>190</v>
      </c>
      <c r="H188" s="95">
        <f ca="1">IF(G186=2,OTHER_BA!K245,OTHER_BA!M245)</f>
        <v>3000</v>
      </c>
      <c r="I188" s="159" t="str">
        <f ca="1">OFFSET(FLU_LU!$D$77,G186,0)</f>
        <v>USD</v>
      </c>
      <c r="J188" s="115">
        <v>3000</v>
      </c>
    </row>
    <row r="189" spans="3:10" s="61" customFormat="1"/>
    <row r="190" spans="3:10" s="61" customFormat="1">
      <c r="F190" s="152" t="s">
        <v>744</v>
      </c>
      <c r="H190" s="135">
        <f ca="1">IF(G186=2,OTHER_BA!N245,OTHER_BA!P245)</f>
        <v>400</v>
      </c>
      <c r="I190" s="159" t="str">
        <f ca="1">OFFSET(FLU_LU!$D$77,G$186,0)</f>
        <v>USD</v>
      </c>
      <c r="J190" s="64">
        <v>350</v>
      </c>
    </row>
    <row r="191" spans="3:10" s="61" customFormat="1">
      <c r="F191" s="152" t="s">
        <v>745</v>
      </c>
      <c r="H191" s="135">
        <f ca="1">IF(G186=2,OTHER_BA!O245,OTHER_BA!Q245)</f>
        <v>600</v>
      </c>
      <c r="I191" s="159" t="str">
        <f ca="1">OFFSET(FLU_LU!$D$77,G$186,0)</f>
        <v>USD</v>
      </c>
      <c r="J191" s="64">
        <v>650</v>
      </c>
    </row>
    <row r="192" spans="3:10" s="61" customFormat="1"/>
    <row r="193" spans="2:10" s="61" customFormat="1"/>
    <row r="194" spans="2:10">
      <c r="J194" s="61"/>
    </row>
    <row r="195" spans="2:10">
      <c r="D195" s="150" t="str">
        <f>"Go to Detailed Cost Worksheet "&amp;HL_FLU_Other_Capital_Activity_Detail_C</f>
        <v>Go to Detailed Cost Worksheet Detailed Cost Estimate: Other Capital Costs not elsewhere included</v>
      </c>
    </row>
    <row r="197" spans="2:10" ht="15.6">
      <c r="D197" s="111" t="s">
        <v>480</v>
      </c>
    </row>
    <row r="198" spans="2:10">
      <c r="F198" s="667"/>
      <c r="G198" s="667"/>
      <c r="H198" s="667"/>
      <c r="I198" s="667"/>
    </row>
    <row r="199" spans="2:10">
      <c r="F199" s="667"/>
      <c r="G199" s="667"/>
      <c r="H199" s="667"/>
      <c r="I199" s="667"/>
    </row>
    <row r="200" spans="2:10">
      <c r="F200" s="667"/>
      <c r="G200" s="667"/>
      <c r="H200" s="667"/>
      <c r="I200" s="667"/>
      <c r="J200" s="12"/>
    </row>
    <row r="201" spans="2:10">
      <c r="J201" s="61"/>
    </row>
    <row r="203" spans="2:10" ht="15.6">
      <c r="B203" s="82" t="str">
        <f>"OUTPUT - TOTAL ACTIVITIES COST FOR "&amp;HL_FLU_Other_Capital_Acquisition_C</f>
        <v>OUTPUT - TOTAL ACTIVITIES COST FOR Other Capital Costs not elsewhere included</v>
      </c>
    </row>
    <row r="205" spans="2:10">
      <c r="F205" s="155" t="str">
        <f>"Total Cost ("&amp;FLU_LU!$D$78&amp;")"</f>
        <v>Total Cost (USD)</v>
      </c>
      <c r="J205" s="12"/>
    </row>
    <row r="206" spans="2:10">
      <c r="I206" s="68" t="s">
        <v>166</v>
      </c>
      <c r="J206" s="340">
        <f>IF(G$186=1,J187,J187/Cost_Ingredients!$J$21)</f>
        <v>2000</v>
      </c>
    </row>
    <row r="207" spans="2:10">
      <c r="I207" s="68" t="s">
        <v>167</v>
      </c>
      <c r="J207" s="163">
        <f>IF(G$186=1,J188,J188/Cost_Ingredients!$J$21)</f>
        <v>3000</v>
      </c>
    </row>
    <row r="209" spans="3:10">
      <c r="F209" s="155" t="str">
        <f>"Total Cost ("&amp;FLU_LU!$D$79&amp;")"</f>
        <v>Total Cost (GOZ)</v>
      </c>
      <c r="I209" s="68" t="s">
        <v>166</v>
      </c>
      <c r="J209" s="135">
        <f>IF(G$186=2,J187,J187*Cost_Ingredients!$J$21)</f>
        <v>300000</v>
      </c>
    </row>
    <row r="210" spans="3:10">
      <c r="I210" s="68" t="s">
        <v>167</v>
      </c>
      <c r="J210" s="135">
        <f>IF(G$186=2,J188,J188*Cost_Ingredients!$J$21)</f>
        <v>450000</v>
      </c>
    </row>
    <row r="212" spans="3:10">
      <c r="F212" s="155" t="str">
        <f>"Total Cost - Annualized ("&amp;FLU_LU!$D$78&amp;")"</f>
        <v>Total Cost - Annualized (USD)</v>
      </c>
      <c r="I212" s="68" t="s">
        <v>166</v>
      </c>
      <c r="J212" s="343">
        <f>IF($G$186=1,J190,J190/Cost_Ingredients!$J$21)</f>
        <v>350</v>
      </c>
    </row>
    <row r="213" spans="3:10">
      <c r="I213" s="68" t="s">
        <v>167</v>
      </c>
      <c r="J213" s="343">
        <f>IF($G$186=1,J191,J191/Cost_Ingredients!$J$21)</f>
        <v>650</v>
      </c>
    </row>
    <row r="215" spans="3:10">
      <c r="F215" s="155" t="str">
        <f>"Total Cost - Annualized ("&amp;FLU_LU!$D$79&amp;")"</f>
        <v>Total Cost - Annualized (GOZ)</v>
      </c>
      <c r="I215" s="68" t="s">
        <v>166</v>
      </c>
      <c r="J215" s="95">
        <f>IF($G$186=2,J190,J190*Cost_Ingredients!$J$21)</f>
        <v>52500</v>
      </c>
    </row>
    <row r="216" spans="3:10">
      <c r="I216" s="68" t="s">
        <v>167</v>
      </c>
      <c r="J216" s="95">
        <f>IF($G$186=2,J191,J191*Cost_Ingredients!$J$21)</f>
        <v>97500</v>
      </c>
    </row>
    <row r="217" spans="3:10" ht="15" thickBot="1">
      <c r="C217" s="55"/>
      <c r="D217" s="55"/>
      <c r="E217" s="55"/>
      <c r="F217" s="55"/>
      <c r="G217" s="55"/>
      <c r="H217" s="55"/>
      <c r="I217" s="55"/>
      <c r="J217" s="55"/>
    </row>
  </sheetData>
  <mergeCells count="27">
    <mergeCell ref="F200:I200"/>
    <mergeCell ref="F161:I161"/>
    <mergeCell ref="F162:I162"/>
    <mergeCell ref="F163:I163"/>
    <mergeCell ref="F198:I198"/>
    <mergeCell ref="F199:I199"/>
    <mergeCell ref="G23:I23"/>
    <mergeCell ref="G24:I24"/>
    <mergeCell ref="F124:I124"/>
    <mergeCell ref="F125:I125"/>
    <mergeCell ref="F126:I126"/>
    <mergeCell ref="B3:E3"/>
    <mergeCell ref="F96:I96"/>
    <mergeCell ref="F67:I67"/>
    <mergeCell ref="F68:I68"/>
    <mergeCell ref="F69:I69"/>
    <mergeCell ref="F94:I94"/>
    <mergeCell ref="F95:I95"/>
    <mergeCell ref="F40:I40"/>
    <mergeCell ref="F41:I41"/>
    <mergeCell ref="F42:I42"/>
    <mergeCell ref="G16:I16"/>
    <mergeCell ref="G17:I17"/>
    <mergeCell ref="G18:I18"/>
    <mergeCell ref="G15:I15"/>
    <mergeCell ref="G21:I21"/>
    <mergeCell ref="G22:I22"/>
  </mergeCells>
  <dataValidations count="2">
    <dataValidation type="custom" showErrorMessage="1" errorTitle="Invalid Assumption" error="Assumption must be a number." sqref="J98 J88:J89 J71 J61:J62 J44 J34:J35 J153:J154 J150:J151 J115:J116 J118:J119 J187:J188 J190:J191" xr:uid="{00000000-0002-0000-1500-000000000000}">
      <formula1>NOT(ISERROR(J34/1))</formula1>
    </dataValidation>
    <dataValidation type="whole" showDropDown="1" showErrorMessage="1" errorTitle="Drop Down Box Cell Link" error="The value in a drop down box cell link must be a whole number within the control's lookup range rows." sqref="G33 G87 G60 G186 G149 G114" xr:uid="{00000000-0002-0000-1500-000001000000}">
      <formula1>1</formula1>
      <formula2>ROWS(LU_FLU_Curr_Code)</formula2>
    </dataValidation>
  </dataValidations>
  <hyperlinks>
    <hyperlink ref="C4" location="HL_Sheet_Main_11" tooltip="Go to Next Sheet" display="HL_Sheet_Main_11" xr:uid="{00000000-0004-0000-1500-000000000000}"/>
    <hyperlink ref="B4" location="HL_Sheet_Main_23" tooltip="Go to Previous Sheet" display="HL_Sheet_Main_23" xr:uid="{00000000-0004-0000-1500-000001000000}"/>
    <hyperlink ref="D37" location="HL_FLU_Other_Recurrent_Activity_Detail_A" tooltip="Click to follow hyperlink." display="HL_FLU_Other_Recurrent_Activity_Detail_A" xr:uid="{00000000-0004-0000-1500-000002000000}"/>
    <hyperlink ref="D64" location="HL_FLU_Other_Recurrent_Activity_Detail_B" tooltip="Click to follow hyperlink." display="HL_FLU_Other_Recurrent_Activity_Detail_B" xr:uid="{00000000-0004-0000-1500-000003000000}"/>
    <hyperlink ref="D91" location="HL_FLU_Other_Recurrent_Activity_Detail_C" tooltip="Click to follow hyperlink." display="HL_FLU_Other_Recurrent_Activity_Detail_C" xr:uid="{00000000-0004-0000-1500-000004000000}"/>
    <hyperlink ref="D121" location="HL_FLU_Other_Capital_Activity_Detail_A" tooltip="Click to follow hyperlink." display="HL_FLU_Other_Capital_Activity_Detail_A" xr:uid="{00000000-0004-0000-1500-000005000000}"/>
    <hyperlink ref="D195" location="HL_FLU_Other_Capital_Activity_Detail_C" tooltip="Click to follow hyperlink." display="HL_FLU_Other_Capital_Activity_Detail_C" xr:uid="{00000000-0004-0000-1500-000006000000}"/>
    <hyperlink ref="D158" location="HL_FLU_Other_Capital_Activity_Detail_B" tooltip="Click to follow hyperlink." display="HL_FLU_Other_Capital_Activity_Detail_B" xr:uid="{00000000-0004-0000-1500-000007000000}"/>
    <hyperlink ref="A4" location="$B$10" tooltip="Go to Top of Sheet" display="$B$10" xr:uid="{00000000-0004-0000-1500-000008000000}"/>
    <hyperlink ref="B3" location="HL_Home" tooltip="Go to Table of Contents" display="HL_Home" xr:uid="{00000000-0004-0000-1500-000009000000}"/>
    <hyperlink ref="D4" location="HL_Err_Chk" tooltip="Go to Error Checks" display="HL_Err_Chk" xr:uid="{00000000-0004-0000-1500-00000A000000}"/>
    <hyperlink ref="E4" location="HL_Sens_Chk" tooltip="Go to Sensitivity Checks" display="HL_Sens_Chk" xr:uid="{00000000-0004-0000-1500-00000B000000}"/>
    <hyperlink ref="F4" location="HL_Alt_Chk" tooltip="Go to Alert Checks" display="HL_Alt_Chk" xr:uid="{00000000-0004-0000-1500-00000C000000}"/>
  </hyperlinks>
  <pageMargins left="0.4" right="0.4" top="0.6" bottom="1" header="0" footer="0.3"/>
  <pageSetup orientation="landscape" horizontalDpi="4294967292" verticalDpi="0" r:id="rId1"/>
  <headerFooter>
    <oddFooter>&amp;L&amp;F
&amp;A
Printed: &amp;T on &amp;D&amp;C&amp;",Bold"Sheet n.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4308" r:id="rId4" name="bpmDropDownFLU541">
              <controlPr defaultSize="0" autoFill="0" autoPict="0">
                <anchor mov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994309" r:id="rId5" name="bpmDropDownFLU542">
              <controlPr defaultSize="0" autoFill="0" autoPict="0">
                <anchor mov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994310" r:id="rId6" name="bpmDropDownFLU543">
              <controlPr defaultSize="0" autoFill="0" autoPict="0">
                <anchor mov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994314" r:id="rId7" name="bpmDropDownFLU683">
              <controlPr defaultSize="0" autoFill="0" autoPict="0">
                <anchor mov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994315" r:id="rId8" name="bpmDropDownFLU691">
              <controlPr defaultSize="0" autoFill="0" autoPict="0">
                <anchor mov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994316" r:id="rId9" name="bpmDropDownFLU707">
              <controlPr defaultSize="0" autoFill="0" autoPict="0">
                <anchor moveWithCells="1">
                  <from>
                    <xdr:col>6</xdr:col>
                    <xdr:colOff>0</xdr:colOff>
                    <xdr:row>185</xdr:row>
                    <xdr:rowOff>0</xdr:rowOff>
                  </from>
                  <to>
                    <xdr:col>7</xdr:col>
                    <xdr:colOff>0</xdr:colOff>
                    <xdr:row>186</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6">
    <tabColor indexed="12"/>
    <pageSetUpPr autoPageBreaks="0"/>
  </sheetPr>
  <dimension ref="A1:N327"/>
  <sheetViews>
    <sheetView showGridLines="0" zoomScaleNormal="100" workbookViewId="0">
      <pane xSplit="1" ySplit="9" topLeftCell="B10" activePane="bottomRight" state="frozenSplit"/>
      <selection pane="topRight" activeCell="B1" sqref="B1"/>
      <selection pane="bottomLeft"/>
      <selection pane="bottomRight"/>
    </sheetView>
  </sheetViews>
  <sheetFormatPr defaultColWidth="11.6640625" defaultRowHeight="14.4" outlineLevelRow="2"/>
  <cols>
    <col min="1" max="2" width="3.6640625" style="134" customWidth="1"/>
    <col min="3" max="3" width="5.6640625" style="134" customWidth="1"/>
    <col min="4" max="4" width="3.6640625" style="134" customWidth="1"/>
    <col min="5" max="5" width="15.6640625" style="134" customWidth="1"/>
    <col min="6" max="6" width="45.6640625" style="134" customWidth="1"/>
    <col min="7" max="9" width="14.6640625" style="134" customWidth="1"/>
    <col min="10" max="10" width="15.6640625" style="134" customWidth="1"/>
    <col min="11" max="16384" width="11.6640625" style="134"/>
  </cols>
  <sheetData>
    <row r="1" spans="1:14" ht="50.1" customHeight="1">
      <c r="B1" s="46" t="s">
        <v>571</v>
      </c>
    </row>
    <row r="2" spans="1:14" ht="18">
      <c r="B2" s="47" t="str">
        <f>Model_Name</f>
        <v>Seasonal Influenza Immunization Costing Tool (SIICT)  - Test Country</v>
      </c>
    </row>
    <row r="3" spans="1:14">
      <c r="B3" s="716" t="s">
        <v>1</v>
      </c>
      <c r="C3" s="716"/>
      <c r="D3" s="716"/>
      <c r="E3" s="716"/>
      <c r="F3" s="150"/>
    </row>
    <row r="4" spans="1:14">
      <c r="A4" s="48" t="s">
        <v>3</v>
      </c>
      <c r="B4" s="49" t="s">
        <v>4</v>
      </c>
      <c r="C4" s="50" t="s">
        <v>5</v>
      </c>
      <c r="D4" s="51" t="s">
        <v>25</v>
      </c>
      <c r="E4" s="79" t="s">
        <v>26</v>
      </c>
      <c r="F4" s="52" t="s">
        <v>27</v>
      </c>
    </row>
    <row r="5" spans="1:14">
      <c r="B5" s="103" t="str">
        <f>"Influenza Season Starting "&amp;TS_First_Fin_Yr</f>
        <v>Influenza Season Starting 2018</v>
      </c>
      <c r="C5" s="20"/>
      <c r="D5" s="20"/>
      <c r="E5" s="20"/>
      <c r="F5" s="20"/>
      <c r="G5" s="20"/>
      <c r="H5" s="20"/>
      <c r="I5" s="20"/>
      <c r="J5" s="21" t="str">
        <f>TS_First_Fin_Yr&amp;"-"&amp;(TS_First_Fin_Yr+1)</f>
        <v>2018-2019</v>
      </c>
      <c r="K5" s="23"/>
      <c r="L5" s="23"/>
      <c r="M5" s="23"/>
      <c r="N5" s="23"/>
    </row>
    <row r="6" spans="1:14" hidden="1" outlineLevel="2">
      <c r="B6" s="68" t="s">
        <v>75</v>
      </c>
      <c r="C6" s="12"/>
      <c r="D6" s="12"/>
      <c r="E6" s="12"/>
      <c r="F6" s="12"/>
      <c r="G6" s="12"/>
      <c r="H6" s="12"/>
      <c r="I6" s="12"/>
      <c r="J6" s="19">
        <f>MAX(EDATE(TS_Start_Date,(J8-1)*TS_Mths_In_Yr-MOD(MONTH(TS_Start_Date)-DD_TS_Fin_Yr_End_Mth-1,TS_Mths_In_Yr)),TS_Start_Date)</f>
        <v>43282</v>
      </c>
      <c r="K6" s="23"/>
      <c r="L6" s="23"/>
      <c r="M6" s="23"/>
      <c r="N6" s="23"/>
    </row>
    <row r="7" spans="1:14" hidden="1" outlineLevel="2">
      <c r="B7" s="68" t="s">
        <v>76</v>
      </c>
      <c r="C7" s="12"/>
      <c r="D7" s="12"/>
      <c r="E7" s="12"/>
      <c r="F7" s="12"/>
      <c r="G7" s="12"/>
      <c r="H7" s="12"/>
      <c r="I7" s="12"/>
      <c r="J7" s="19">
        <f>MIN(EOMONTH(TS_Start_Date,J8*TS_Mths_In_Yr-MOD(MONTH(TS_Start_Date)-DD_TS_Fin_Yr_End_Mth-1,TS_Mths_In_Yr)-1),TS_End_Date)</f>
        <v>43465</v>
      </c>
      <c r="K7" s="23"/>
      <c r="L7" s="23"/>
      <c r="M7" s="23"/>
      <c r="N7" s="23"/>
    </row>
    <row r="8" spans="1:14" hidden="1" outlineLevel="2">
      <c r="B8" s="68" t="s">
        <v>77</v>
      </c>
      <c r="C8" s="12"/>
      <c r="D8" s="12"/>
      <c r="E8" s="12"/>
      <c r="F8" s="12"/>
      <c r="G8" s="12"/>
      <c r="H8" s="12"/>
      <c r="I8" s="12"/>
      <c r="J8" s="16">
        <f>COLUMNS($J8:J8)</f>
        <v>1</v>
      </c>
      <c r="K8" s="23"/>
      <c r="L8" s="23"/>
      <c r="M8" s="23"/>
      <c r="N8" s="23"/>
    </row>
    <row r="9" spans="1:14" hidden="1" outlineLevel="2">
      <c r="B9" s="22" t="s">
        <v>78</v>
      </c>
      <c r="C9" s="20"/>
      <c r="D9" s="20"/>
      <c r="E9" s="20"/>
      <c r="F9" s="20"/>
      <c r="G9" s="20"/>
      <c r="H9" s="20"/>
      <c r="I9" s="20"/>
      <c r="J9" s="104">
        <f>YEAR(J7)+IF(MONTH(J7)&gt;DD_TS_Fin_Yr_End_Mth,1,0)</f>
        <v>2018</v>
      </c>
      <c r="K9" s="23"/>
      <c r="L9" s="23"/>
      <c r="M9" s="23"/>
      <c r="N9" s="23"/>
    </row>
    <row r="10" spans="1:14" collapsed="1"/>
    <row r="12" spans="1:14" s="23" customFormat="1" ht="17.399999999999999">
      <c r="B12" s="15" t="s">
        <v>571</v>
      </c>
    </row>
    <row r="13" spans="1:14" s="23" customFormat="1"/>
    <row r="14" spans="1:14" s="23" customFormat="1" ht="17.399999999999999">
      <c r="B14" s="15" t="s">
        <v>419</v>
      </c>
    </row>
    <row r="15" spans="1:14" s="23" customFormat="1"/>
    <row r="16" spans="1:14" s="23" customFormat="1">
      <c r="D16" s="152" t="s">
        <v>420</v>
      </c>
    </row>
    <row r="17" spans="2:9" s="23" customFormat="1">
      <c r="G17" s="152" t="s">
        <v>343</v>
      </c>
    </row>
    <row r="18" spans="2:9" s="23" customFormat="1">
      <c r="E18" s="333" t="str">
        <f>PROCUR!F48</f>
        <v>Single Vaccine Dose in Prefilled Auto-Destruct Syringe</v>
      </c>
      <c r="G18" s="64">
        <v>56</v>
      </c>
    </row>
    <row r="19" spans="2:9" s="23" customFormat="1">
      <c r="E19" s="333" t="str">
        <f>PROCUR!F49</f>
        <v>Single Vaccine Dose in Vial</v>
      </c>
      <c r="G19" s="64">
        <v>13</v>
      </c>
    </row>
    <row r="20" spans="2:9" s="23" customFormat="1"/>
    <row r="21" spans="2:9" s="61" customFormat="1" ht="17.399999999999999">
      <c r="B21" s="15" t="s">
        <v>746</v>
      </c>
    </row>
    <row r="22" spans="2:9" s="61" customFormat="1"/>
    <row r="23" spans="2:9" s="61" customFormat="1" ht="15.6">
      <c r="C23" s="111" t="s">
        <v>445</v>
      </c>
      <c r="D23" s="152" t="s">
        <v>747</v>
      </c>
    </row>
    <row r="24" spans="2:9" s="61" customFormat="1">
      <c r="F24" s="152" t="s">
        <v>444</v>
      </c>
      <c r="G24" s="739" t="s">
        <v>600</v>
      </c>
      <c r="H24" s="744"/>
      <c r="I24" s="744"/>
    </row>
    <row r="25" spans="2:9" s="61" customFormat="1">
      <c r="F25" s="151" t="s">
        <v>750</v>
      </c>
      <c r="G25" s="667"/>
      <c r="H25" s="667"/>
      <c r="I25" s="667"/>
    </row>
    <row r="26" spans="2:9" s="61" customFormat="1">
      <c r="F26" s="151" t="s">
        <v>751</v>
      </c>
      <c r="G26" s="667"/>
      <c r="H26" s="667"/>
      <c r="I26" s="667"/>
    </row>
    <row r="27" spans="2:9" s="61" customFormat="1">
      <c r="F27" s="151" t="s">
        <v>752</v>
      </c>
      <c r="G27" s="667"/>
      <c r="H27" s="667"/>
      <c r="I27" s="667"/>
    </row>
    <row r="28" spans="2:9" s="61" customFormat="1">
      <c r="F28" s="152"/>
      <c r="G28" s="152"/>
      <c r="H28" s="152"/>
      <c r="I28" s="152"/>
    </row>
    <row r="29" spans="2:9" s="61" customFormat="1" ht="15.6">
      <c r="C29" s="111" t="s">
        <v>483</v>
      </c>
      <c r="D29" s="152" t="s">
        <v>832</v>
      </c>
    </row>
    <row r="30" spans="2:9" s="23" customFormat="1"/>
    <row r="31" spans="2:9" s="61" customFormat="1" ht="15" thickBot="1">
      <c r="C31" s="55"/>
      <c r="D31" s="55"/>
      <c r="E31" s="55"/>
      <c r="F31" s="55"/>
      <c r="G31" s="55"/>
      <c r="H31" s="55"/>
      <c r="I31" s="55"/>
    </row>
    <row r="32" spans="2:9" s="61" customFormat="1"/>
    <row r="33" spans="2:10" s="23" customFormat="1"/>
    <row r="34" spans="2:10" s="23" customFormat="1" ht="17.399999999999999">
      <c r="B34" s="377" t="str">
        <f>FLU_LU!$D$363</f>
        <v>Republic Level Cold Storage Expansion</v>
      </c>
    </row>
    <row r="35" spans="2:10" s="23" customFormat="1"/>
    <row r="36" spans="2:10" s="23" customFormat="1" ht="15.6">
      <c r="C36" s="111" t="s">
        <v>756</v>
      </c>
    </row>
    <row r="37" spans="2:10" s="23" customFormat="1"/>
    <row r="38" spans="2:10" s="23" customFormat="1">
      <c r="D38" s="152" t="s">
        <v>757</v>
      </c>
    </row>
    <row r="39" spans="2:10" s="23" customFormat="1">
      <c r="J39" s="249" t="s">
        <v>67</v>
      </c>
    </row>
    <row r="40" spans="2:10" s="23" customFormat="1">
      <c r="E40" s="333" t="str">
        <f>PROCUR!F48</f>
        <v>Single Vaccine Dose in Prefilled Auto-Destruct Syringe</v>
      </c>
      <c r="J40" s="16">
        <f>PROCUR!J111</f>
        <v>21210</v>
      </c>
    </row>
    <row r="41" spans="2:10" s="23" customFormat="1">
      <c r="E41" s="333" t="str">
        <f>PROCUR!F49</f>
        <v>Single Vaccine Dose in Vial</v>
      </c>
      <c r="J41" s="16">
        <f>PROCUR!J112</f>
        <v>318.14999999999998</v>
      </c>
    </row>
    <row r="42" spans="2:10" s="23" customFormat="1"/>
    <row r="43" spans="2:10" s="23" customFormat="1">
      <c r="D43" s="152" t="s">
        <v>421</v>
      </c>
    </row>
    <row r="44" spans="2:10" s="23" customFormat="1">
      <c r="J44" s="249" t="s">
        <v>702</v>
      </c>
    </row>
    <row r="45" spans="2:10" s="23" customFormat="1">
      <c r="E45" s="333" t="str">
        <f>PROCUR!F48</f>
        <v>Single Vaccine Dose in Prefilled Auto-Destruct Syringe</v>
      </c>
      <c r="J45" s="120">
        <v>1</v>
      </c>
    </row>
    <row r="46" spans="2:10" s="23" customFormat="1">
      <c r="E46" s="333" t="str">
        <f>PROCUR!F49</f>
        <v>Single Vaccine Dose in Vial</v>
      </c>
      <c r="J46" s="120">
        <v>1</v>
      </c>
    </row>
    <row r="47" spans="2:10" s="23" customFormat="1"/>
    <row r="48" spans="2:10" s="23" customFormat="1">
      <c r="D48" s="152" t="s">
        <v>557</v>
      </c>
      <c r="J48" s="249" t="s">
        <v>213</v>
      </c>
    </row>
    <row r="49" spans="3:10" s="23" customFormat="1">
      <c r="E49" s="154" t="str">
        <f>PROCUR!F48&amp;" (cm3)"</f>
        <v>Single Vaccine Dose in Prefilled Auto-Destruct Syringe (cm3)</v>
      </c>
      <c r="J49" s="16">
        <f>G18*J40*J45</f>
        <v>1187760</v>
      </c>
    </row>
    <row r="50" spans="3:10" s="23" customFormat="1">
      <c r="E50" s="154" t="str">
        <f>PROCUR!F49&amp;" (cm3)"</f>
        <v>Single Vaccine Dose in Vial (cm3)</v>
      </c>
      <c r="J50" s="16">
        <f>G19*J41*J46</f>
        <v>4135.95</v>
      </c>
    </row>
    <row r="51" spans="3:10" s="23" customFormat="1" ht="15" thickBot="1">
      <c r="E51" s="152" t="s">
        <v>438</v>
      </c>
      <c r="J51" s="44">
        <f>SUM(J49:J50)</f>
        <v>1191895.95</v>
      </c>
    </row>
    <row r="52" spans="3:10" s="23" customFormat="1" ht="15" thickTop="1"/>
    <row r="53" spans="3:10" s="23" customFormat="1" ht="15.6">
      <c r="C53" s="111" t="s">
        <v>758</v>
      </c>
    </row>
    <row r="54" spans="3:10" s="23" customFormat="1">
      <c r="J54" s="249" t="s">
        <v>213</v>
      </c>
    </row>
    <row r="55" spans="3:10" s="23" customFormat="1">
      <c r="E55" s="152" t="s">
        <v>550</v>
      </c>
      <c r="J55" s="115">
        <v>600000</v>
      </c>
    </row>
    <row r="56" spans="3:10" s="23" customFormat="1"/>
    <row r="57" spans="3:10" s="23" customFormat="1">
      <c r="E57" s="152" t="s">
        <v>549</v>
      </c>
      <c r="J57" s="255">
        <f>MAX(0,(J51-J55))</f>
        <v>591895.94999999995</v>
      </c>
    </row>
    <row r="58" spans="3:10" s="23" customFormat="1"/>
    <row r="59" spans="3:10" s="23" customFormat="1">
      <c r="E59" s="152" t="s">
        <v>553</v>
      </c>
    </row>
    <row r="60" spans="3:10" s="23" customFormat="1"/>
    <row r="61" spans="3:10" s="23" customFormat="1"/>
    <row r="62" spans="3:10" s="23" customFormat="1">
      <c r="F62" s="152" t="s">
        <v>552</v>
      </c>
      <c r="G62" s="152" t="s">
        <v>696</v>
      </c>
      <c r="H62" s="142" t="s">
        <v>698</v>
      </c>
      <c r="J62" s="152" t="s">
        <v>551</v>
      </c>
    </row>
    <row r="63" spans="3:10" s="23" customFormat="1">
      <c r="F63" s="31">
        <v>2</v>
      </c>
      <c r="G63" s="167">
        <f ca="1">OFFSET(Cost_Ingredients!$L$204,F63,0)</f>
        <v>200000</v>
      </c>
      <c r="H63" s="175">
        <f ca="1">OFFSET(Cost_Ingredients!$O$204,F63,0)</f>
        <v>10</v>
      </c>
      <c r="J63" s="115">
        <v>1</v>
      </c>
    </row>
    <row r="64" spans="3:10" s="23" customFormat="1">
      <c r="F64" s="31">
        <v>1</v>
      </c>
      <c r="G64" s="167">
        <f ca="1">OFFSET(Cost_Ingredients!$L$204,F64,0)</f>
        <v>0</v>
      </c>
      <c r="H64" s="175">
        <f ca="1">OFFSET(Cost_Ingredients!$O$204,F64,0)</f>
        <v>0</v>
      </c>
      <c r="J64" s="115">
        <v>0</v>
      </c>
    </row>
    <row r="65" spans="3:10" s="23" customFormat="1">
      <c r="F65" s="31">
        <v>1</v>
      </c>
      <c r="G65" s="167">
        <f ca="1">OFFSET(Cost_Ingredients!$L$204,F65,0)</f>
        <v>0</v>
      </c>
      <c r="H65" s="175">
        <f ca="1">OFFSET(Cost_Ingredients!$O$204,F65,0)</f>
        <v>0</v>
      </c>
      <c r="J65" s="115"/>
    </row>
    <row r="66" spans="3:10" s="23" customFormat="1">
      <c r="F66" s="31">
        <v>1</v>
      </c>
      <c r="G66" s="167">
        <f ca="1">OFFSET(Cost_Ingredients!$L$204,F66,0)</f>
        <v>0</v>
      </c>
      <c r="H66" s="175">
        <f ca="1">OFFSET(Cost_Ingredients!$O$204,F66,0)</f>
        <v>0</v>
      </c>
      <c r="J66" s="115"/>
    </row>
    <row r="67" spans="3:10" s="61" customFormat="1">
      <c r="F67" s="374">
        <v>1</v>
      </c>
      <c r="G67" s="167">
        <f ca="1">OFFSET(Cost_Ingredients!$L$204,F67,0)</f>
        <v>0</v>
      </c>
      <c r="H67" s="373">
        <f ca="1">OFFSET(Cost_Ingredients!$O$204,F67,0)</f>
        <v>0</v>
      </c>
      <c r="I67" s="252"/>
      <c r="J67" s="115">
        <v>0</v>
      </c>
    </row>
    <row r="68" spans="3:10" s="23" customFormat="1">
      <c r="F68" s="152"/>
      <c r="G68" s="341"/>
      <c r="H68" s="18"/>
      <c r="I68" s="152" t="s">
        <v>697</v>
      </c>
      <c r="J68" s="195">
        <f ca="1">SUMPRODUCT(G63:G67*J63:J67)</f>
        <v>200000</v>
      </c>
    </row>
    <row r="69" spans="3:10" s="23" customFormat="1"/>
    <row r="70" spans="3:10" s="23" customFormat="1">
      <c r="E70" s="152" t="s">
        <v>554</v>
      </c>
      <c r="G70" s="338">
        <f ca="1">MAX(0,(J57-J68))</f>
        <v>391895.94999999995</v>
      </c>
    </row>
    <row r="71" spans="3:10" s="23" customFormat="1"/>
    <row r="72" spans="3:10" s="23" customFormat="1" ht="15.6">
      <c r="C72" s="111" t="s">
        <v>759</v>
      </c>
    </row>
    <row r="73" spans="3:10" s="23" customFormat="1">
      <c r="G73" s="152" t="s">
        <v>117</v>
      </c>
    </row>
    <row r="74" spans="3:10" s="23" customFormat="1">
      <c r="G74" s="31">
        <v>1</v>
      </c>
    </row>
    <row r="75" spans="3:10" s="23" customFormat="1">
      <c r="E75" s="152" t="s">
        <v>692</v>
      </c>
    </row>
    <row r="76" spans="3:10" s="23" customFormat="1">
      <c r="F76" s="152" t="s">
        <v>552</v>
      </c>
      <c r="G76" s="152" t="s">
        <v>555</v>
      </c>
      <c r="J76" s="342" t="str">
        <f ca="1">OFFSET(FLU_LU!$D$77,$G$74,0)</f>
        <v>USD</v>
      </c>
    </row>
    <row r="77" spans="3:10" s="23" customFormat="1">
      <c r="F77" s="134" t="str">
        <f ca="1">OFFSET(Cost_Ingredients!$D$204,F63,0)</f>
        <v>Icelined refrigerator (200k)</v>
      </c>
      <c r="G77" s="95">
        <f ca="1">IF(G$74=2,OFFSET(Cost_Ingredients!$P$204,F63,0),OFFSET(Cost_Ingredients!$R$204,F63,0))</f>
        <v>1196</v>
      </c>
      <c r="J77" s="162">
        <f t="shared" ref="J77:J81" ca="1" si="0">G77*J63</f>
        <v>1196</v>
      </c>
    </row>
    <row r="78" spans="3:10" s="23" customFormat="1">
      <c r="F78" s="134" t="str">
        <f ca="1">OFFSET(Cost_Ingredients!$D$204,F64,0)</f>
        <v>&lt;select from this drop-down list&gt;</v>
      </c>
      <c r="G78" s="95">
        <f ca="1">IF(G$74=2,OFFSET(Cost_Ingredients!$P$204,F64,0),OFFSET(Cost_Ingredients!$R$204,F64,0))</f>
        <v>0</v>
      </c>
      <c r="J78" s="162">
        <f t="shared" ca="1" si="0"/>
        <v>0</v>
      </c>
    </row>
    <row r="79" spans="3:10" s="23" customFormat="1">
      <c r="F79" s="134" t="str">
        <f ca="1">OFFSET(Cost_Ingredients!$D$204,F65,0)</f>
        <v>&lt;select from this drop-down list&gt;</v>
      </c>
      <c r="G79" s="95">
        <f ca="1">IF(G$74=2,OFFSET(Cost_Ingredients!$P$204,F65,0),OFFSET(Cost_Ingredients!$R$204,F65,0))</f>
        <v>0</v>
      </c>
      <c r="J79" s="162">
        <f t="shared" ca="1" si="0"/>
        <v>0</v>
      </c>
    </row>
    <row r="80" spans="3:10" s="23" customFormat="1">
      <c r="F80" s="134" t="str">
        <f ca="1">OFFSET(Cost_Ingredients!$D$204,F66,0)</f>
        <v>&lt;select from this drop-down list&gt;</v>
      </c>
      <c r="G80" s="95">
        <f ca="1">IF(G$74=2,OFFSET(Cost_Ingredients!$P$204,F66,0),OFFSET(Cost_Ingredients!$R$204,F66,0))</f>
        <v>0</v>
      </c>
      <c r="J80" s="162">
        <f t="shared" ca="1" si="0"/>
        <v>0</v>
      </c>
    </row>
    <row r="81" spans="5:10" s="61" customFormat="1">
      <c r="F81" s="337" t="str">
        <f ca="1">OFFSET(Cost_Ingredients!$D$204,F67,0)</f>
        <v>&lt;select from this drop-down list&gt;</v>
      </c>
      <c r="G81" s="375">
        <f ca="1">IF(G$74=2,OFFSET(Cost_Ingredients!$P$204,F67,0),OFFSET(Cost_Ingredients!$R$204,F67,0))</f>
        <v>0</v>
      </c>
      <c r="J81" s="162">
        <f t="shared" ca="1" si="0"/>
        <v>0</v>
      </c>
    </row>
    <row r="82" spans="5:10" s="23" customFormat="1">
      <c r="F82" s="152" t="s">
        <v>695</v>
      </c>
      <c r="G82" s="18"/>
      <c r="J82" s="255">
        <f ca="1">SUM(J77:J81)</f>
        <v>1196</v>
      </c>
    </row>
    <row r="83" spans="5:10" s="23" customFormat="1">
      <c r="E83" s="152" t="s">
        <v>693</v>
      </c>
    </row>
    <row r="84" spans="5:10" s="23" customFormat="1">
      <c r="F84" s="152" t="s">
        <v>552</v>
      </c>
      <c r="G84" s="152" t="s">
        <v>555</v>
      </c>
      <c r="J84" s="342" t="str">
        <f ca="1">OFFSET(FLU_LU!$D$77,$G$74,0)</f>
        <v>USD</v>
      </c>
    </row>
    <row r="85" spans="5:10" s="23" customFormat="1">
      <c r="F85" s="159" t="str">
        <f ca="1">OFFSET(Cost_Ingredients!$D$204,F63,0)</f>
        <v>Icelined refrigerator (200k)</v>
      </c>
      <c r="G85" s="95">
        <f ca="1">IF(G$74=2,OFFSET(Cost_Ingredients!$Q$204,F63,0),OFFSET(Cost_Ingredients!$S$204,F63,0))</f>
        <v>1196</v>
      </c>
      <c r="J85" s="167">
        <f t="shared" ref="J85:J89" ca="1" si="1">G85*J63</f>
        <v>1196</v>
      </c>
    </row>
    <row r="86" spans="5:10" s="23" customFormat="1">
      <c r="F86" s="159" t="str">
        <f ca="1">OFFSET(Cost_Ingredients!$D$204,F64,0)</f>
        <v>&lt;select from this drop-down list&gt;</v>
      </c>
      <c r="G86" s="95">
        <f ca="1">IF(G$74=2,OFFSET(Cost_Ingredients!$Q$204,F64,0),OFFSET(Cost_Ingredients!$S$204,F64,0))</f>
        <v>0</v>
      </c>
      <c r="J86" s="167">
        <f t="shared" ca="1" si="1"/>
        <v>0</v>
      </c>
    </row>
    <row r="87" spans="5:10" s="23" customFormat="1">
      <c r="F87" s="159" t="str">
        <f ca="1">OFFSET(Cost_Ingredients!$D$204,F65,0)</f>
        <v>&lt;select from this drop-down list&gt;</v>
      </c>
      <c r="G87" s="95">
        <f ca="1">IF(G$74=2,OFFSET(Cost_Ingredients!$Q$204,F65,0),OFFSET(Cost_Ingredients!$S$204,F65,0))</f>
        <v>0</v>
      </c>
      <c r="J87" s="167">
        <f t="shared" ca="1" si="1"/>
        <v>0</v>
      </c>
    </row>
    <row r="88" spans="5:10" s="23" customFormat="1">
      <c r="F88" s="159" t="str">
        <f ca="1">OFFSET(Cost_Ingredients!$D$204,F66,0)</f>
        <v>&lt;select from this drop-down list&gt;</v>
      </c>
      <c r="G88" s="95">
        <f ca="1">IF(G$74=2,OFFSET(Cost_Ingredients!$Q$204,F66,0),OFFSET(Cost_Ingredients!$S$204,F66,0))</f>
        <v>0</v>
      </c>
      <c r="J88" s="167">
        <f t="shared" ca="1" si="1"/>
        <v>0</v>
      </c>
    </row>
    <row r="89" spans="5:10" s="61" customFormat="1">
      <c r="F89" s="376" t="str">
        <f ca="1">OFFSET(Cost_Ingredients!$D$204,F67,0)</f>
        <v>&lt;select from this drop-down list&gt;</v>
      </c>
      <c r="G89" s="375">
        <f ca="1">IF(G$74=2,OFFSET(Cost_Ingredients!$Q$204,F67,0),OFFSET(Cost_Ingredients!$S$204,F67,0))</f>
        <v>0</v>
      </c>
      <c r="J89" s="167">
        <f t="shared" ca="1" si="1"/>
        <v>0</v>
      </c>
    </row>
    <row r="90" spans="5:10" s="23" customFormat="1">
      <c r="F90" s="152" t="s">
        <v>694</v>
      </c>
      <c r="G90" s="43"/>
      <c r="J90" s="255">
        <f ca="1">SUM(J85:J89)</f>
        <v>1196</v>
      </c>
    </row>
    <row r="91" spans="5:10" s="23" customFormat="1"/>
    <row r="92" spans="5:10" s="23" customFormat="1">
      <c r="E92" s="152" t="s">
        <v>699</v>
      </c>
    </row>
    <row r="93" spans="5:10" s="23" customFormat="1">
      <c r="F93" s="152" t="s">
        <v>552</v>
      </c>
      <c r="G93" s="152" t="s">
        <v>701</v>
      </c>
      <c r="J93" s="342" t="str">
        <f ca="1">OFFSET(FLU_LU!$D$77,$G$74,0)</f>
        <v>USD</v>
      </c>
    </row>
    <row r="94" spans="5:10" s="23" customFormat="1">
      <c r="F94" s="134" t="str">
        <f ca="1">OFFSET(Cost_Ingredients!$D$204,F63,0)</f>
        <v>Icelined refrigerator (200k)</v>
      </c>
      <c r="G94" s="95">
        <f ca="1">IF(G$74=2,OFFSET(Cost_Ingredients!$T$204,F63,0),OFFSET(Cost_Ingredients!$V$204,F63,0))</f>
        <v>119.6</v>
      </c>
      <c r="J94" s="162">
        <f t="shared" ref="J94:J98" ca="1" si="2">G94*J63</f>
        <v>119.6</v>
      </c>
    </row>
    <row r="95" spans="5:10" s="23" customFormat="1">
      <c r="F95" s="134" t="str">
        <f ca="1">OFFSET(Cost_Ingredients!$D$204,F64,0)</f>
        <v>&lt;select from this drop-down list&gt;</v>
      </c>
      <c r="G95" s="95">
        <f ca="1">IF(G$74=2,OFFSET(Cost_Ingredients!$T$204,F64,0),OFFSET(Cost_Ingredients!$V$204,F64,0))</f>
        <v>0</v>
      </c>
      <c r="J95" s="162">
        <f t="shared" ca="1" si="2"/>
        <v>0</v>
      </c>
    </row>
    <row r="96" spans="5:10" s="23" customFormat="1">
      <c r="F96" s="134" t="str">
        <f ca="1">OFFSET(Cost_Ingredients!$D$204,F65,0)</f>
        <v>&lt;select from this drop-down list&gt;</v>
      </c>
      <c r="G96" s="95">
        <f ca="1">IF(G$74=2,OFFSET(Cost_Ingredients!$T$204,F65,0),OFFSET(Cost_Ingredients!$V$204,F65,0))</f>
        <v>0</v>
      </c>
      <c r="J96" s="162">
        <f t="shared" ca="1" si="2"/>
        <v>0</v>
      </c>
    </row>
    <row r="97" spans="2:10" s="23" customFormat="1">
      <c r="F97" s="134" t="str">
        <f ca="1">OFFSET(Cost_Ingredients!$D$204,F66,0)</f>
        <v>&lt;select from this drop-down list&gt;</v>
      </c>
      <c r="G97" s="95">
        <f ca="1">IF(G$74=2,OFFSET(Cost_Ingredients!$T$204,F66,0),OFFSET(Cost_Ingredients!$V$204,F66,0))</f>
        <v>0</v>
      </c>
      <c r="J97" s="162">
        <f t="shared" ca="1" si="2"/>
        <v>0</v>
      </c>
    </row>
    <row r="98" spans="2:10" s="61" customFormat="1">
      <c r="F98" s="337" t="str">
        <f ca="1">OFFSET(Cost_Ingredients!$D$204,F67,0)</f>
        <v>&lt;select from this drop-down list&gt;</v>
      </c>
      <c r="G98" s="375">
        <f ca="1">IF(G$74=2,OFFSET(Cost_Ingredients!$T$204,F67,0),OFFSET(Cost_Ingredients!$V$204,F67,0))</f>
        <v>0</v>
      </c>
      <c r="J98" s="162">
        <f t="shared" ca="1" si="2"/>
        <v>0</v>
      </c>
    </row>
    <row r="99" spans="2:10" s="23" customFormat="1">
      <c r="F99" s="152" t="s">
        <v>748</v>
      </c>
      <c r="G99" s="18"/>
      <c r="J99" s="255">
        <f ca="1">SUM(J94:J98)</f>
        <v>119.6</v>
      </c>
    </row>
    <row r="100" spans="2:10" s="61" customFormat="1"/>
    <row r="101" spans="2:10" s="61" customFormat="1"/>
    <row r="102" spans="2:10" s="23" customFormat="1">
      <c r="E102" s="152" t="s">
        <v>700</v>
      </c>
    </row>
    <row r="103" spans="2:10" s="23" customFormat="1">
      <c r="F103" s="152" t="s">
        <v>552</v>
      </c>
      <c r="G103" s="152" t="s">
        <v>701</v>
      </c>
      <c r="J103" s="342" t="str">
        <f ca="1">OFFSET(FLU_LU!$D$77,$G$74,0)</f>
        <v>USD</v>
      </c>
    </row>
    <row r="104" spans="2:10" s="23" customFormat="1">
      <c r="F104" s="159" t="str">
        <f ca="1">OFFSET(Cost_Ingredients!$D$204,F63,0)</f>
        <v>Icelined refrigerator (200k)</v>
      </c>
      <c r="G104" s="95">
        <f ca="1">IF(G$74=2,OFFSET(Cost_Ingredients!$U$204,F63,0),OFFSET(Cost_Ingredients!$W$204,F63,0))</f>
        <v>140.20768589977089</v>
      </c>
      <c r="J104" s="167">
        <f t="shared" ref="J104:J108" ca="1" si="3">G104*J63</f>
        <v>140.20768589977089</v>
      </c>
    </row>
    <row r="105" spans="2:10" s="23" customFormat="1">
      <c r="F105" s="159" t="str">
        <f ca="1">OFFSET(Cost_Ingredients!$D$204,F64,0)</f>
        <v>&lt;select from this drop-down list&gt;</v>
      </c>
      <c r="G105" s="95">
        <f ca="1">IF(G$74=2,OFFSET(Cost_Ingredients!$U$204,F64,0),OFFSET(Cost_Ingredients!$W$204,F64,0))</f>
        <v>0</v>
      </c>
      <c r="J105" s="167">
        <f t="shared" ca="1" si="3"/>
        <v>0</v>
      </c>
    </row>
    <row r="106" spans="2:10" s="23" customFormat="1">
      <c r="F106" s="159" t="str">
        <f ca="1">OFFSET(Cost_Ingredients!$D$204,F65,0)</f>
        <v>&lt;select from this drop-down list&gt;</v>
      </c>
      <c r="G106" s="95">
        <f ca="1">IF(G$74=2,OFFSET(Cost_Ingredients!$U$204,F65,0),OFFSET(Cost_Ingredients!$W$204,F65,0))</f>
        <v>0</v>
      </c>
      <c r="J106" s="167">
        <f t="shared" ca="1" si="3"/>
        <v>0</v>
      </c>
    </row>
    <row r="107" spans="2:10" s="23" customFormat="1">
      <c r="F107" s="159" t="str">
        <f ca="1">OFFSET(Cost_Ingredients!$D$204,F66,0)</f>
        <v>&lt;select from this drop-down list&gt;</v>
      </c>
      <c r="G107" s="95">
        <f ca="1">IF(G$74=2,OFFSET(Cost_Ingredients!$U$204,F66,0),OFFSET(Cost_Ingredients!$W$204,F66,0))</f>
        <v>0</v>
      </c>
      <c r="J107" s="167">
        <f t="shared" ca="1" si="3"/>
        <v>0</v>
      </c>
    </row>
    <row r="108" spans="2:10" s="61" customFormat="1">
      <c r="F108" s="376" t="str">
        <f ca="1">OFFSET(Cost_Ingredients!$D$204,F67,0)</f>
        <v>&lt;select from this drop-down list&gt;</v>
      </c>
      <c r="G108" s="375">
        <f ca="1">IF(G$74=2,OFFSET(Cost_Ingredients!$U$204,F67,0),OFFSET(Cost_Ingredients!$W$204,F67,0))</f>
        <v>0</v>
      </c>
      <c r="J108" s="167">
        <f t="shared" ca="1" si="3"/>
        <v>0</v>
      </c>
    </row>
    <row r="109" spans="2:10" s="23" customFormat="1">
      <c r="F109" s="152" t="s">
        <v>749</v>
      </c>
      <c r="G109" s="43"/>
      <c r="J109" s="255">
        <f ca="1">SUM(J104:J108)</f>
        <v>140.20768589977089</v>
      </c>
    </row>
    <row r="110" spans="2:10" s="23" customFormat="1"/>
    <row r="111" spans="2:10" s="23" customFormat="1"/>
    <row r="112" spans="2:10" s="23" customFormat="1" ht="15.6">
      <c r="B112" s="82" t="str">
        <f>"OUTPUT - TOTAL "&amp;C72</f>
        <v>OUTPUT - TOTAL Estimated Cost for  Cold Storage Expansion at this Level</v>
      </c>
    </row>
    <row r="113" spans="3:10" s="23" customFormat="1"/>
    <row r="114" spans="3:10" s="23" customFormat="1">
      <c r="F114" s="155" t="str">
        <f>"Total Cost ("&amp;FLU_LU!$D$78&amp;")"</f>
        <v>Total Cost (USD)</v>
      </c>
    </row>
    <row r="115" spans="3:10" s="23" customFormat="1">
      <c r="I115" s="68" t="s">
        <v>166</v>
      </c>
      <c r="J115" s="343">
        <f ca="1">IF($G$74=1,J82,J82/Cost_Ingredients!$J$21)</f>
        <v>1196</v>
      </c>
    </row>
    <row r="116" spans="3:10" s="23" customFormat="1">
      <c r="I116" s="68" t="s">
        <v>167</v>
      </c>
      <c r="J116" s="343">
        <f ca="1">IF($G$74=1,J90,J90/Cost_Ingredients!$J$21)</f>
        <v>1196</v>
      </c>
    </row>
    <row r="117" spans="3:10" s="23" customFormat="1"/>
    <row r="118" spans="3:10" s="23" customFormat="1">
      <c r="F118" s="155" t="str">
        <f>"Total Cost ("&amp;FLU_LU!$D$79&amp;")"</f>
        <v>Total Cost (GOZ)</v>
      </c>
      <c r="I118" s="68" t="s">
        <v>166</v>
      </c>
      <c r="J118" s="95">
        <f ca="1">IF($G$74=2,J82,J82*Cost_Ingredients!$J$21)</f>
        <v>179400</v>
      </c>
    </row>
    <row r="119" spans="3:10" s="23" customFormat="1">
      <c r="I119" s="68" t="s">
        <v>167</v>
      </c>
      <c r="J119" s="95">
        <f ca="1">IF($G$74=2,J90,J90*Cost_Ingredients!$J$21)</f>
        <v>179400</v>
      </c>
    </row>
    <row r="120" spans="3:10" s="23" customFormat="1"/>
    <row r="121" spans="3:10" s="23" customFormat="1">
      <c r="F121" s="155" t="str">
        <f>"Total Cost - Annualized ("&amp;FLU_LU!$D$78&amp;")"</f>
        <v>Total Cost - Annualized (USD)</v>
      </c>
    </row>
    <row r="122" spans="3:10" s="23" customFormat="1">
      <c r="I122" s="68" t="s">
        <v>166</v>
      </c>
      <c r="J122" s="343">
        <f ca="1">IF($G$74=1,J99,J99/Cost_Ingredients!$J$21)</f>
        <v>119.6</v>
      </c>
    </row>
    <row r="123" spans="3:10" s="23" customFormat="1">
      <c r="I123" s="68" t="s">
        <v>167</v>
      </c>
      <c r="J123" s="343">
        <f ca="1">IF($G$74=1,J109,J109/Cost_Ingredients!$J$21)</f>
        <v>140.20768589977089</v>
      </c>
    </row>
    <row r="124" spans="3:10" s="23" customFormat="1"/>
    <row r="125" spans="3:10" s="23" customFormat="1">
      <c r="F125" s="155" t="str">
        <f>"Total Cost - Annualized ("&amp;FLU_LU!$D$79&amp;")"</f>
        <v>Total Cost - Annualized (GOZ)</v>
      </c>
      <c r="I125" s="68" t="s">
        <v>166</v>
      </c>
      <c r="J125" s="95">
        <f ca="1">IF($G$74=2,J99,J99*Cost_Ingredients!$J$21)</f>
        <v>17940</v>
      </c>
    </row>
    <row r="126" spans="3:10" s="23" customFormat="1">
      <c r="I126" s="68" t="s">
        <v>167</v>
      </c>
      <c r="J126" s="95">
        <f ca="1">IF($G$74=2,J109,J109*Cost_Ingredients!$J$21)</f>
        <v>21031.152884965635</v>
      </c>
    </row>
    <row r="127" spans="3:10" s="23" customFormat="1" ht="15" thickBot="1">
      <c r="C127" s="55"/>
      <c r="D127" s="55"/>
      <c r="E127" s="55"/>
      <c r="F127" s="55"/>
      <c r="G127" s="55"/>
      <c r="H127" s="55"/>
      <c r="I127" s="55"/>
      <c r="J127" s="55"/>
    </row>
    <row r="128" spans="3:10" s="23" customFormat="1"/>
    <row r="129" spans="2:10" s="23" customFormat="1" ht="17.399999999999999">
      <c r="B129" s="377" t="str">
        <f>FLU_LU!$D$364</f>
        <v>County Level Cold Storage Expansion</v>
      </c>
    </row>
    <row r="130" spans="2:10" s="23" customFormat="1"/>
    <row r="131" spans="2:10" s="23" customFormat="1"/>
    <row r="132" spans="2:10" s="23" customFormat="1"/>
    <row r="133" spans="2:10" s="23" customFormat="1" ht="15.6">
      <c r="C133" s="111" t="s">
        <v>756</v>
      </c>
    </row>
    <row r="134" spans="2:10" s="23" customFormat="1"/>
    <row r="135" spans="2:10" s="23" customFormat="1">
      <c r="D135" s="65" t="s">
        <v>705</v>
      </c>
      <c r="J135" s="115">
        <v>12</v>
      </c>
    </row>
    <row r="136" spans="2:10" s="23" customFormat="1"/>
    <row r="137" spans="2:10" s="23" customFormat="1">
      <c r="D137" s="152" t="s">
        <v>760</v>
      </c>
    </row>
    <row r="138" spans="2:10" s="23" customFormat="1"/>
    <row r="139" spans="2:10" s="23" customFormat="1">
      <c r="E139" s="159" t="str">
        <f>PROCUR!F48</f>
        <v>Single Vaccine Dose in Prefilled Auto-Destruct Syringe</v>
      </c>
      <c r="J139" s="195">
        <f>J40/$J$135</f>
        <v>1767.5</v>
      </c>
    </row>
    <row r="140" spans="2:10" s="23" customFormat="1">
      <c r="E140" s="159" t="str">
        <f>PROCUR!F49</f>
        <v>Single Vaccine Dose in Vial</v>
      </c>
      <c r="J140" s="195">
        <f>J41/$J$135</f>
        <v>26.512499999999999</v>
      </c>
    </row>
    <row r="141" spans="2:10" s="23" customFormat="1"/>
    <row r="142" spans="2:10" s="23" customFormat="1">
      <c r="D142" s="152" t="s">
        <v>421</v>
      </c>
    </row>
    <row r="143" spans="2:10" s="23" customFormat="1">
      <c r="J143" s="249" t="s">
        <v>556</v>
      </c>
    </row>
    <row r="144" spans="2:10" s="23" customFormat="1">
      <c r="E144" s="159" t="str">
        <f>PROCUR!F48</f>
        <v>Single Vaccine Dose in Prefilled Auto-Destruct Syringe</v>
      </c>
      <c r="J144" s="120">
        <v>1</v>
      </c>
    </row>
    <row r="145" spans="3:10" s="23" customFormat="1">
      <c r="E145" s="159" t="str">
        <f>PROCUR!F49</f>
        <v>Single Vaccine Dose in Vial</v>
      </c>
      <c r="J145" s="120">
        <v>1</v>
      </c>
    </row>
    <row r="146" spans="3:10" s="23" customFormat="1"/>
    <row r="147" spans="3:10" s="23" customFormat="1">
      <c r="D147" s="152" t="s">
        <v>557</v>
      </c>
      <c r="J147" s="249" t="s">
        <v>213</v>
      </c>
    </row>
    <row r="148" spans="3:10" s="23" customFormat="1">
      <c r="E148" s="154" t="str">
        <f>PROCUR!F48&amp;" (cm3)"</f>
        <v>Single Vaccine Dose in Prefilled Auto-Destruct Syringe (cm3)</v>
      </c>
      <c r="J148" s="175">
        <f>G18*J139*J144</f>
        <v>98980</v>
      </c>
    </row>
    <row r="149" spans="3:10" s="23" customFormat="1">
      <c r="E149" s="154" t="str">
        <f>PROCUR!F49&amp;" (cm3)"</f>
        <v>Single Vaccine Dose in Vial (cm3)</v>
      </c>
      <c r="J149" s="175">
        <f>G19*J140*J145</f>
        <v>344.66249999999997</v>
      </c>
    </row>
    <row r="150" spans="3:10" s="23" customFormat="1" ht="15" thickBot="1">
      <c r="E150" s="152" t="s">
        <v>438</v>
      </c>
      <c r="J150" s="191">
        <f>SUM(J148:J149)</f>
        <v>99324.662500000006</v>
      </c>
    </row>
    <row r="151" spans="3:10" s="23" customFormat="1" ht="15" thickTop="1"/>
    <row r="152" spans="3:10" s="23" customFormat="1"/>
    <row r="153" spans="3:10" s="23" customFormat="1" ht="15.6">
      <c r="C153" s="111" t="s">
        <v>758</v>
      </c>
    </row>
    <row r="154" spans="3:10" s="23" customFormat="1">
      <c r="J154" s="249" t="s">
        <v>213</v>
      </c>
    </row>
    <row r="155" spans="3:10" s="23" customFormat="1">
      <c r="E155" s="152" t="s">
        <v>703</v>
      </c>
      <c r="J155" s="115">
        <v>5000</v>
      </c>
    </row>
    <row r="156" spans="3:10" s="23" customFormat="1"/>
    <row r="157" spans="3:10" s="23" customFormat="1">
      <c r="F157" s="152" t="s">
        <v>704</v>
      </c>
      <c r="J157" s="195">
        <f>J155*$J$135</f>
        <v>60000</v>
      </c>
    </row>
    <row r="158" spans="3:10" s="23" customFormat="1"/>
    <row r="159" spans="3:10" s="23" customFormat="1">
      <c r="E159" s="152" t="s">
        <v>549</v>
      </c>
      <c r="J159" s="175">
        <f>MAX(0,(J150-J157))</f>
        <v>39324.662500000006</v>
      </c>
    </row>
    <row r="160" spans="3:10" s="23" customFormat="1"/>
    <row r="161" spans="3:10" s="23" customFormat="1">
      <c r="E161" s="152" t="s">
        <v>553</v>
      </c>
    </row>
    <row r="162" spans="3:10" s="23" customFormat="1"/>
    <row r="163" spans="3:10" s="23" customFormat="1"/>
    <row r="164" spans="3:10" s="23" customFormat="1">
      <c r="F164" s="152" t="s">
        <v>552</v>
      </c>
      <c r="G164" s="152" t="s">
        <v>696</v>
      </c>
      <c r="H164" s="142" t="s">
        <v>698</v>
      </c>
      <c r="J164" s="152" t="s">
        <v>551</v>
      </c>
    </row>
    <row r="165" spans="3:10" s="23" customFormat="1">
      <c r="F165" s="31">
        <v>5</v>
      </c>
      <c r="G165" s="167">
        <f ca="1">OFFSET(Cost_Ingredients!$L$204,F165,0)</f>
        <v>45000</v>
      </c>
      <c r="H165" s="167">
        <f ca="1">OFFSET(Cost_Ingredients!$O$204,F165,0)</f>
        <v>10</v>
      </c>
      <c r="I165" s="12"/>
      <c r="J165" s="115">
        <v>12</v>
      </c>
    </row>
    <row r="166" spans="3:10" s="23" customFormat="1">
      <c r="F166" s="31">
        <v>1</v>
      </c>
      <c r="G166" s="167">
        <f ca="1">OFFSET(Cost_Ingredients!$L$204,F166,0)</f>
        <v>0</v>
      </c>
      <c r="H166" s="167">
        <f ca="1">OFFSET(Cost_Ingredients!$O$204,F166,0)</f>
        <v>0</v>
      </c>
      <c r="I166" s="12"/>
      <c r="J166" s="115">
        <v>0</v>
      </c>
    </row>
    <row r="167" spans="3:10" s="23" customFormat="1">
      <c r="F167" s="31">
        <v>1</v>
      </c>
      <c r="G167" s="167">
        <f ca="1">OFFSET(Cost_Ingredients!$L$204,F167,0)</f>
        <v>0</v>
      </c>
      <c r="H167" s="167">
        <f ca="1">OFFSET(Cost_Ingredients!$O$204,F167,0)</f>
        <v>0</v>
      </c>
      <c r="I167" s="12"/>
      <c r="J167" s="115"/>
    </row>
    <row r="168" spans="3:10" s="23" customFormat="1">
      <c r="F168" s="31">
        <v>1</v>
      </c>
      <c r="G168" s="167">
        <f ca="1">OFFSET(Cost_Ingredients!$L$204,F168,0)</f>
        <v>0</v>
      </c>
      <c r="H168" s="167">
        <f ca="1">OFFSET(Cost_Ingredients!$O$204,F168,0)</f>
        <v>0</v>
      </c>
      <c r="I168" s="12"/>
      <c r="J168" s="115"/>
    </row>
    <row r="169" spans="3:10" s="61" customFormat="1">
      <c r="F169" s="374">
        <v>1</v>
      </c>
      <c r="G169" s="167">
        <f ca="1">OFFSET(Cost_Ingredients!$L$204,F169,0)</f>
        <v>0</v>
      </c>
      <c r="H169" s="373">
        <f ca="1">OFFSET(Cost_Ingredients!$O$204,F169,0)</f>
        <v>0</v>
      </c>
      <c r="I169" s="252"/>
      <c r="J169" s="115">
        <v>0</v>
      </c>
    </row>
    <row r="170" spans="3:10" s="23" customFormat="1">
      <c r="F170" s="152"/>
      <c r="G170" s="341"/>
      <c r="H170" s="18"/>
      <c r="I170" s="152" t="s">
        <v>697</v>
      </c>
      <c r="J170" s="195">
        <f ca="1">SUMPRODUCT(G165:G169*J165:J169)</f>
        <v>540000</v>
      </c>
    </row>
    <row r="171" spans="3:10" s="23" customFormat="1"/>
    <row r="172" spans="3:10" s="23" customFormat="1">
      <c r="E172" s="152" t="s">
        <v>554</v>
      </c>
      <c r="G172" s="338">
        <f ca="1">MAX(0,(J159-J170))</f>
        <v>0</v>
      </c>
    </row>
    <row r="173" spans="3:10" s="23" customFormat="1"/>
    <row r="174" spans="3:10" s="23" customFormat="1" ht="15.6">
      <c r="C174" s="82" t="str">
        <f>"Estimated Cost for "&amp;C153</f>
        <v>Estimated Cost for Required Cold Storage Expansion at this Level</v>
      </c>
    </row>
    <row r="175" spans="3:10" s="23" customFormat="1">
      <c r="G175" s="152" t="s">
        <v>117</v>
      </c>
    </row>
    <row r="176" spans="3:10" s="23" customFormat="1">
      <c r="G176" s="31">
        <v>1</v>
      </c>
    </row>
    <row r="177" spans="5:10" s="23" customFormat="1">
      <c r="E177" s="152" t="s">
        <v>692</v>
      </c>
    </row>
    <row r="178" spans="5:10" s="23" customFormat="1">
      <c r="F178" s="152" t="s">
        <v>552</v>
      </c>
      <c r="G178" s="152" t="s">
        <v>555</v>
      </c>
      <c r="J178" s="342" t="str">
        <f ca="1">OFFSET(FLU_LU!$D$77,$G$176,0)</f>
        <v>USD</v>
      </c>
    </row>
    <row r="179" spans="5:10" s="23" customFormat="1">
      <c r="F179" s="134" t="str">
        <f ca="1">OFFSET(Cost_Ingredients!$D$204,F165,0)</f>
        <v>Icelined refrigerator (45k)</v>
      </c>
      <c r="G179" s="95">
        <f ca="1">IF(G$176=2,OFFSET(Cost_Ingredients!$P$204,F165,0),OFFSET(Cost_Ingredients!$R$204,F165,0))</f>
        <v>510</v>
      </c>
      <c r="J179" s="162">
        <f t="shared" ref="J179:J183" ca="1" si="4">G179*J165</f>
        <v>6120</v>
      </c>
    </row>
    <row r="180" spans="5:10" s="23" customFormat="1">
      <c r="F180" s="134" t="str">
        <f ca="1">OFFSET(Cost_Ingredients!$D$204,F166,0)</f>
        <v>&lt;select from this drop-down list&gt;</v>
      </c>
      <c r="G180" s="95">
        <f ca="1">IF(G$176=2,OFFSET(Cost_Ingredients!$P$204,F166,0),OFFSET(Cost_Ingredients!$R$204,F166,0))</f>
        <v>0</v>
      </c>
      <c r="J180" s="162">
        <f t="shared" ca="1" si="4"/>
        <v>0</v>
      </c>
    </row>
    <row r="181" spans="5:10" s="23" customFormat="1">
      <c r="F181" s="134" t="str">
        <f ca="1">OFFSET(Cost_Ingredients!$D$204,F167,0)</f>
        <v>&lt;select from this drop-down list&gt;</v>
      </c>
      <c r="G181" s="95">
        <f ca="1">IF(G$176=2,OFFSET(Cost_Ingredients!$P$204,F167,0),OFFSET(Cost_Ingredients!$R$204,F167,0))</f>
        <v>0</v>
      </c>
      <c r="J181" s="162">
        <f t="shared" ca="1" si="4"/>
        <v>0</v>
      </c>
    </row>
    <row r="182" spans="5:10" s="23" customFormat="1">
      <c r="F182" s="134" t="str">
        <f ca="1">OFFSET(Cost_Ingredients!$D$204,F168,0)</f>
        <v>&lt;select from this drop-down list&gt;</v>
      </c>
      <c r="G182" s="95">
        <f ca="1">IF(G$176=2,OFFSET(Cost_Ingredients!$P$204,F168,0),OFFSET(Cost_Ingredients!$R$204,F168,0))</f>
        <v>0</v>
      </c>
      <c r="J182" s="162">
        <f t="shared" ca="1" si="4"/>
        <v>0</v>
      </c>
    </row>
    <row r="183" spans="5:10" s="61" customFormat="1">
      <c r="F183" s="337" t="str">
        <f ca="1">OFFSET(Cost_Ingredients!$D$204,F169,0)</f>
        <v>&lt;select from this drop-down list&gt;</v>
      </c>
      <c r="G183" s="375">
        <f ca="1">IF(G$176=2,OFFSET(Cost_Ingredients!$P$204,F169,0),OFFSET(Cost_Ingredients!$R$204,F169,0))</f>
        <v>0</v>
      </c>
      <c r="J183" s="162">
        <f t="shared" ca="1" si="4"/>
        <v>0</v>
      </c>
    </row>
    <row r="184" spans="5:10" s="23" customFormat="1">
      <c r="F184" s="152" t="s">
        <v>695</v>
      </c>
      <c r="G184" s="18"/>
      <c r="J184" s="255">
        <f ca="1">SUM(J179:J183)</f>
        <v>6120</v>
      </c>
    </row>
    <row r="185" spans="5:10" s="23" customFormat="1">
      <c r="E185" s="152" t="s">
        <v>693</v>
      </c>
    </row>
    <row r="186" spans="5:10" s="23" customFormat="1">
      <c r="F186" s="152" t="s">
        <v>552</v>
      </c>
      <c r="G186" s="152" t="s">
        <v>555</v>
      </c>
      <c r="J186" s="342" t="str">
        <f ca="1">OFFSET(FLU_LU!$D$77,$G$176,0)</f>
        <v>USD</v>
      </c>
    </row>
    <row r="187" spans="5:10" s="23" customFormat="1">
      <c r="F187" s="159" t="str">
        <f ca="1">OFFSET(Cost_Ingredients!$D$204,F165,0)</f>
        <v>Icelined refrigerator (45k)</v>
      </c>
      <c r="G187" s="95">
        <f ca="1">IF(G$176=2,OFFSET(Cost_Ingredients!$Q$204,F165,0),OFFSET(Cost_Ingredients!$S$204,F165,0))</f>
        <v>510</v>
      </c>
      <c r="J187" s="167">
        <f t="shared" ref="J187:J191" ca="1" si="5">G187*J165</f>
        <v>6120</v>
      </c>
    </row>
    <row r="188" spans="5:10" s="23" customFormat="1">
      <c r="F188" s="159" t="str">
        <f ca="1">OFFSET(Cost_Ingredients!$D$204,F166,0)</f>
        <v>&lt;select from this drop-down list&gt;</v>
      </c>
      <c r="G188" s="95">
        <f ca="1">IF(G$176=2,OFFSET(Cost_Ingredients!$Q$204,F166,0),OFFSET(Cost_Ingredients!$S$204,F166,0))</f>
        <v>0</v>
      </c>
      <c r="J188" s="167">
        <f t="shared" ca="1" si="5"/>
        <v>0</v>
      </c>
    </row>
    <row r="189" spans="5:10" s="23" customFormat="1">
      <c r="F189" s="159" t="str">
        <f ca="1">OFFSET(Cost_Ingredients!$D$204,F167,0)</f>
        <v>&lt;select from this drop-down list&gt;</v>
      </c>
      <c r="G189" s="95">
        <f ca="1">IF(G$176=2,OFFSET(Cost_Ingredients!$Q$204,F167,0),OFFSET(Cost_Ingredients!$S$204,F167,0))</f>
        <v>0</v>
      </c>
      <c r="J189" s="167">
        <f t="shared" ca="1" si="5"/>
        <v>0</v>
      </c>
    </row>
    <row r="190" spans="5:10" s="23" customFormat="1">
      <c r="F190" s="159" t="str">
        <f ca="1">OFFSET(Cost_Ingredients!$D$204,F168,0)</f>
        <v>&lt;select from this drop-down list&gt;</v>
      </c>
      <c r="G190" s="95">
        <f ca="1">IF(G$176=2,OFFSET(Cost_Ingredients!$Q$204,F168,0),OFFSET(Cost_Ingredients!$S$204,F168,0))</f>
        <v>0</v>
      </c>
      <c r="J190" s="167">
        <f t="shared" ca="1" si="5"/>
        <v>0</v>
      </c>
    </row>
    <row r="191" spans="5:10" s="61" customFormat="1">
      <c r="F191" s="376" t="str">
        <f ca="1">OFFSET(Cost_Ingredients!$D$204,F169,0)</f>
        <v>&lt;select from this drop-down list&gt;</v>
      </c>
      <c r="G191" s="375">
        <f ca="1">IF(G$176=2,OFFSET(Cost_Ingredients!$Q$204,F169,0),OFFSET(Cost_Ingredients!$S$204,F169,0))</f>
        <v>0</v>
      </c>
      <c r="J191" s="167">
        <f t="shared" ca="1" si="5"/>
        <v>0</v>
      </c>
    </row>
    <row r="192" spans="5:10" s="23" customFormat="1">
      <c r="F192" s="152" t="s">
        <v>694</v>
      </c>
      <c r="G192" s="43"/>
      <c r="J192" s="255">
        <f ca="1">SUM(J187:J191)</f>
        <v>6120</v>
      </c>
    </row>
    <row r="193" spans="5:10" s="23" customFormat="1"/>
    <row r="194" spans="5:10" s="23" customFormat="1">
      <c r="E194" s="152" t="s">
        <v>699</v>
      </c>
    </row>
    <row r="195" spans="5:10" s="23" customFormat="1">
      <c r="F195" s="152" t="s">
        <v>552</v>
      </c>
      <c r="G195" s="152" t="s">
        <v>701</v>
      </c>
      <c r="J195" s="342" t="str">
        <f ca="1">OFFSET(FLU_LU!$D$77,$G$176,0)</f>
        <v>USD</v>
      </c>
    </row>
    <row r="196" spans="5:10" s="23" customFormat="1">
      <c r="F196" s="134" t="str">
        <f ca="1">OFFSET(Cost_Ingredients!$D$204,F165,0)</f>
        <v>Icelined refrigerator (45k)</v>
      </c>
      <c r="G196" s="95">
        <f ca="1">IF(G$176=2,OFFSET(Cost_Ingredients!$T$204,F165,0),OFFSET(Cost_Ingredients!$V$204,F165,0))</f>
        <v>51</v>
      </c>
      <c r="J196" s="162">
        <f t="shared" ref="J196:J200" ca="1" si="6">G196*J165</f>
        <v>612</v>
      </c>
    </row>
    <row r="197" spans="5:10" s="23" customFormat="1">
      <c r="F197" s="134" t="str">
        <f ca="1">OFFSET(Cost_Ingredients!$D$204,F166,0)</f>
        <v>&lt;select from this drop-down list&gt;</v>
      </c>
      <c r="G197" s="95">
        <f ca="1">IF(G$176=2,OFFSET(Cost_Ingredients!$T$204,F166,0),OFFSET(Cost_Ingredients!$V$204,F166,0))</f>
        <v>0</v>
      </c>
      <c r="J197" s="162">
        <f t="shared" ca="1" si="6"/>
        <v>0</v>
      </c>
    </row>
    <row r="198" spans="5:10" s="23" customFormat="1">
      <c r="F198" s="134" t="str">
        <f ca="1">OFFSET(Cost_Ingredients!$D$204,F167,0)</f>
        <v>&lt;select from this drop-down list&gt;</v>
      </c>
      <c r="G198" s="95">
        <f ca="1">IF(G$176=2,OFFSET(Cost_Ingredients!$T$204,F167,0),OFFSET(Cost_Ingredients!$V$204,F167,0))</f>
        <v>0</v>
      </c>
      <c r="J198" s="162">
        <f t="shared" ca="1" si="6"/>
        <v>0</v>
      </c>
    </row>
    <row r="199" spans="5:10" s="23" customFormat="1">
      <c r="F199" s="134" t="str">
        <f ca="1">OFFSET(Cost_Ingredients!$D$204,F168,0)</f>
        <v>&lt;select from this drop-down list&gt;</v>
      </c>
      <c r="G199" s="95">
        <f ca="1">IF(G$176=2,OFFSET(Cost_Ingredients!$T$204,F168,0),OFFSET(Cost_Ingredients!$V$204,F168,0))</f>
        <v>0</v>
      </c>
      <c r="J199" s="162">
        <f t="shared" ca="1" si="6"/>
        <v>0</v>
      </c>
    </row>
    <row r="200" spans="5:10" s="61" customFormat="1">
      <c r="F200" s="337" t="str">
        <f ca="1">OFFSET(Cost_Ingredients!$D$204,F169,0)</f>
        <v>&lt;select from this drop-down list&gt;</v>
      </c>
      <c r="G200" s="375">
        <f ca="1">IF(G$176=2,OFFSET(Cost_Ingredients!$T$204,F169,0),OFFSET(Cost_Ingredients!$V$204,F169,0))</f>
        <v>0</v>
      </c>
      <c r="J200" s="162">
        <f t="shared" ca="1" si="6"/>
        <v>0</v>
      </c>
    </row>
    <row r="201" spans="5:10" s="23" customFormat="1">
      <c r="F201" s="152" t="s">
        <v>695</v>
      </c>
      <c r="G201" s="18"/>
      <c r="J201" s="255">
        <f ca="1">SUM(J196:J200)</f>
        <v>612</v>
      </c>
    </row>
    <row r="202" spans="5:10" s="23" customFormat="1">
      <c r="E202" s="152" t="s">
        <v>700</v>
      </c>
    </row>
    <row r="203" spans="5:10" s="23" customFormat="1">
      <c r="F203" s="152" t="s">
        <v>552</v>
      </c>
      <c r="G203" s="152" t="s">
        <v>701</v>
      </c>
      <c r="J203" s="342" t="str">
        <f ca="1">OFFSET(FLU_LU!$D$77,$G$176,0)</f>
        <v>USD</v>
      </c>
    </row>
    <row r="204" spans="5:10" s="23" customFormat="1">
      <c r="F204" s="159" t="str">
        <f ca="1">OFFSET(Cost_Ingredients!$D$204,F165,0)</f>
        <v>Icelined refrigerator (45k)</v>
      </c>
      <c r="G204" s="95">
        <f ca="1">IF(G$176=2,OFFSET(Cost_Ingredients!$U$204,F165,0),OFFSET(Cost_Ingredients!$W$204,F165,0))</f>
        <v>59.787558368631402</v>
      </c>
      <c r="J204" s="167">
        <f t="shared" ref="J204:J208" ca="1" si="7">G204*J165</f>
        <v>717.45070042357679</v>
      </c>
    </row>
    <row r="205" spans="5:10" s="23" customFormat="1">
      <c r="F205" s="159" t="str">
        <f ca="1">OFFSET(Cost_Ingredients!$D$204,F166,0)</f>
        <v>&lt;select from this drop-down list&gt;</v>
      </c>
      <c r="G205" s="95">
        <f ca="1">IF(G$176=2,OFFSET(Cost_Ingredients!$U$204,F166,0),OFFSET(Cost_Ingredients!$W$204,F166,0))</f>
        <v>0</v>
      </c>
      <c r="J205" s="167">
        <f t="shared" ca="1" si="7"/>
        <v>0</v>
      </c>
    </row>
    <row r="206" spans="5:10" s="23" customFormat="1">
      <c r="F206" s="159" t="str">
        <f ca="1">OFFSET(Cost_Ingredients!$D$204,F167,0)</f>
        <v>&lt;select from this drop-down list&gt;</v>
      </c>
      <c r="G206" s="95">
        <f ca="1">IF(G$176=2,OFFSET(Cost_Ingredients!$U$204,F167,0),OFFSET(Cost_Ingredients!$W$204,F167,0))</f>
        <v>0</v>
      </c>
      <c r="J206" s="167">
        <f t="shared" ca="1" si="7"/>
        <v>0</v>
      </c>
    </row>
    <row r="207" spans="5:10" s="23" customFormat="1">
      <c r="F207" s="159" t="str">
        <f ca="1">OFFSET(Cost_Ingredients!$D$204,F168,0)</f>
        <v>&lt;select from this drop-down list&gt;</v>
      </c>
      <c r="G207" s="95">
        <f ca="1">IF(G$176=2,OFFSET(Cost_Ingredients!$U$204,F168,0),OFFSET(Cost_Ingredients!$W$204,F168,0))</f>
        <v>0</v>
      </c>
      <c r="J207" s="167">
        <f t="shared" ca="1" si="7"/>
        <v>0</v>
      </c>
    </row>
    <row r="208" spans="5:10" s="61" customFormat="1">
      <c r="F208" s="376" t="str">
        <f ca="1">OFFSET(Cost_Ingredients!$D$204,F169,0)</f>
        <v>&lt;select from this drop-down list&gt;</v>
      </c>
      <c r="G208" s="375">
        <f ca="1">IF(G$176=2,OFFSET(Cost_Ingredients!$U$204,F169,0),OFFSET(Cost_Ingredients!$W$204,F169,0))</f>
        <v>0</v>
      </c>
      <c r="J208" s="167">
        <f t="shared" ca="1" si="7"/>
        <v>0</v>
      </c>
    </row>
    <row r="209" spans="2:10" s="23" customFormat="1">
      <c r="F209" s="152" t="s">
        <v>694</v>
      </c>
      <c r="G209" s="43"/>
      <c r="J209" s="255">
        <f ca="1">SUM(J204:J208)</f>
        <v>717.45070042357679</v>
      </c>
    </row>
    <row r="210" spans="2:10" s="23" customFormat="1"/>
    <row r="211" spans="2:10" s="23" customFormat="1"/>
    <row r="212" spans="2:10" s="23" customFormat="1" ht="15.6">
      <c r="B212" s="82" t="str">
        <f>"OUTPUT - TOTAL "&amp;C174</f>
        <v>OUTPUT - TOTAL Estimated Cost for Required Cold Storage Expansion at this Level</v>
      </c>
    </row>
    <row r="213" spans="2:10" s="23" customFormat="1"/>
    <row r="214" spans="2:10" s="23" customFormat="1">
      <c r="F214" s="155" t="str">
        <f>"Total Cost ("&amp;FLU_LU!$D$78&amp;")"</f>
        <v>Total Cost (USD)</v>
      </c>
    </row>
    <row r="215" spans="2:10" s="23" customFormat="1">
      <c r="I215" s="68" t="s">
        <v>166</v>
      </c>
      <c r="J215" s="343">
        <f ca="1">IF($G$176=1,J184,J184/Cost_Ingredients!$J$21)</f>
        <v>6120</v>
      </c>
    </row>
    <row r="216" spans="2:10" s="23" customFormat="1">
      <c r="I216" s="68" t="s">
        <v>167</v>
      </c>
      <c r="J216" s="343">
        <f ca="1">IF($G$176=1,J192,J192/Cost_Ingredients!$J$21)</f>
        <v>6120</v>
      </c>
    </row>
    <row r="217" spans="2:10" s="23" customFormat="1"/>
    <row r="218" spans="2:10" s="23" customFormat="1">
      <c r="F218" s="155" t="str">
        <f>"Total Cost ("&amp;FLU_LU!$D$79&amp;")"</f>
        <v>Total Cost (GOZ)</v>
      </c>
      <c r="I218" s="68" t="s">
        <v>166</v>
      </c>
      <c r="J218" s="95">
        <f ca="1">IF($G$176=2,J184,J184*Cost_Ingredients!$J$21)</f>
        <v>918000</v>
      </c>
    </row>
    <row r="219" spans="2:10" s="23" customFormat="1">
      <c r="I219" s="68" t="s">
        <v>167</v>
      </c>
      <c r="J219" s="95">
        <f ca="1">IF($G$176=2,J192,J192*Cost_Ingredients!$J$21)</f>
        <v>918000</v>
      </c>
    </row>
    <row r="220" spans="2:10" s="23" customFormat="1"/>
    <row r="221" spans="2:10" s="23" customFormat="1">
      <c r="F221" s="155" t="str">
        <f>"Total Cost - Annualized ("&amp;FLU_LU!$D$78&amp;")"</f>
        <v>Total Cost - Annualized (USD)</v>
      </c>
    </row>
    <row r="222" spans="2:10" s="23" customFormat="1">
      <c r="I222" s="68" t="s">
        <v>166</v>
      </c>
      <c r="J222" s="343">
        <f ca="1">IF($G$176=1,J201,J201/Cost_Ingredients!$J$21)</f>
        <v>612</v>
      </c>
    </row>
    <row r="223" spans="2:10" s="23" customFormat="1">
      <c r="I223" s="68" t="s">
        <v>167</v>
      </c>
      <c r="J223" s="343">
        <f ca="1">IF($G$176=1,J209,J209/Cost_Ingredients!$J$21)</f>
        <v>717.45070042357679</v>
      </c>
    </row>
    <row r="224" spans="2:10" s="23" customFormat="1"/>
    <row r="225" spans="2:10" s="23" customFormat="1">
      <c r="F225" s="155" t="str">
        <f>"Total Cost - Annualized ("&amp;FLU_LU!$D$79&amp;")"</f>
        <v>Total Cost - Annualized (GOZ)</v>
      </c>
      <c r="I225" s="68" t="s">
        <v>166</v>
      </c>
      <c r="J225" s="95">
        <f ca="1">IF($G$176=2,J201,J201*Cost_Ingredients!$J$21)</f>
        <v>91800</v>
      </c>
    </row>
    <row r="226" spans="2:10" s="23" customFormat="1">
      <c r="I226" s="68" t="s">
        <v>167</v>
      </c>
      <c r="J226" s="95">
        <f ca="1">IF($G$176=2,J209,J209*Cost_Ingredients!$J$21)</f>
        <v>107617.60506353652</v>
      </c>
    </row>
    <row r="227" spans="2:10" s="23" customFormat="1" ht="15" thickBot="1">
      <c r="C227" s="55"/>
      <c r="D227" s="55"/>
      <c r="E227" s="55"/>
      <c r="F227" s="55"/>
      <c r="G227" s="55"/>
      <c r="H227" s="55"/>
      <c r="I227" s="55"/>
      <c r="J227" s="55"/>
    </row>
    <row r="228" spans="2:10" s="23" customFormat="1"/>
    <row r="229" spans="2:10" s="23" customFormat="1" ht="17.399999999999999">
      <c r="B229" s="377" t="str">
        <f>FLU_LU!$D$365</f>
        <v>Health Facility Cold Storage Expansion</v>
      </c>
    </row>
    <row r="233" spans="2:10" ht="15.6">
      <c r="C233" s="111" t="s">
        <v>756</v>
      </c>
    </row>
    <row r="235" spans="2:10">
      <c r="D235" s="65" t="s">
        <v>705</v>
      </c>
      <c r="J235" s="115">
        <v>568</v>
      </c>
    </row>
    <row r="237" spans="2:10">
      <c r="D237" s="152" t="s">
        <v>760</v>
      </c>
    </row>
    <row r="239" spans="2:10" s="61" customFormat="1">
      <c r="E239" s="159" t="str">
        <f>PROCUR!F48</f>
        <v>Single Vaccine Dose in Prefilled Auto-Destruct Syringe</v>
      </c>
      <c r="J239" s="195">
        <f t="shared" ref="J239:J240" si="8">J40/$J$235</f>
        <v>37.341549295774648</v>
      </c>
    </row>
    <row r="240" spans="2:10" s="61" customFormat="1">
      <c r="E240" s="159" t="str">
        <f>PROCUR!F49</f>
        <v>Single Vaccine Dose in Vial</v>
      </c>
      <c r="J240" s="195">
        <f t="shared" si="8"/>
        <v>0.56012323943661968</v>
      </c>
    </row>
    <row r="242" spans="3:10">
      <c r="D242" s="152" t="s">
        <v>421</v>
      </c>
    </row>
    <row r="243" spans="3:10">
      <c r="J243" s="249" t="s">
        <v>556</v>
      </c>
    </row>
    <row r="244" spans="3:10" s="61" customFormat="1">
      <c r="E244" s="159" t="str">
        <f>PROCUR!F48</f>
        <v>Single Vaccine Dose in Prefilled Auto-Destruct Syringe</v>
      </c>
      <c r="J244" s="120">
        <v>1</v>
      </c>
    </row>
    <row r="245" spans="3:10" s="61" customFormat="1">
      <c r="E245" s="159" t="str">
        <f>PROCUR!F49</f>
        <v>Single Vaccine Dose in Vial</v>
      </c>
      <c r="J245" s="120">
        <v>1</v>
      </c>
    </row>
    <row r="247" spans="3:10">
      <c r="D247" s="152" t="s">
        <v>557</v>
      </c>
      <c r="J247" s="249" t="s">
        <v>213</v>
      </c>
    </row>
    <row r="248" spans="3:10" s="61" customFormat="1">
      <c r="E248" s="154" t="str">
        <f>PROCUR!F48&amp;" (cm3)"</f>
        <v>Single Vaccine Dose in Prefilled Auto-Destruct Syringe (cm3)</v>
      </c>
      <c r="J248" s="175">
        <f>G18*J239*J244</f>
        <v>2091.1267605633802</v>
      </c>
    </row>
    <row r="249" spans="3:10" s="61" customFormat="1">
      <c r="E249" s="154" t="str">
        <f>PROCUR!F49&amp;" (cm3)"</f>
        <v>Single Vaccine Dose in Vial (cm3)</v>
      </c>
      <c r="J249" s="175">
        <f>G19*J240*J245</f>
        <v>7.2816021126760555</v>
      </c>
    </row>
    <row r="250" spans="3:10" s="61" customFormat="1" ht="15" thickBot="1">
      <c r="E250" s="152" t="s">
        <v>438</v>
      </c>
      <c r="J250" s="191">
        <f>SUM(J248:J249)</f>
        <v>2098.4083626760562</v>
      </c>
    </row>
    <row r="251" spans="3:10" ht="15" thickTop="1"/>
    <row r="253" spans="3:10" ht="15.6">
      <c r="C253" s="111" t="s">
        <v>758</v>
      </c>
    </row>
    <row r="254" spans="3:10">
      <c r="J254" s="249" t="s">
        <v>213</v>
      </c>
    </row>
    <row r="255" spans="3:10">
      <c r="E255" s="152" t="s">
        <v>703</v>
      </c>
      <c r="J255" s="115">
        <v>2000</v>
      </c>
    </row>
    <row r="257" spans="5:10">
      <c r="F257" s="152" t="s">
        <v>704</v>
      </c>
      <c r="J257" s="195">
        <f>J255*$J235</f>
        <v>1136000</v>
      </c>
    </row>
    <row r="259" spans="5:10">
      <c r="E259" s="152" t="s">
        <v>549</v>
      </c>
      <c r="J259" s="167">
        <f>MAX(0,(J250-J257))</f>
        <v>0</v>
      </c>
    </row>
    <row r="261" spans="5:10">
      <c r="E261" s="152" t="s">
        <v>553</v>
      </c>
    </row>
    <row r="264" spans="5:10">
      <c r="F264" s="152" t="s">
        <v>552</v>
      </c>
      <c r="G264" s="152" t="s">
        <v>696</v>
      </c>
      <c r="H264" s="142" t="s">
        <v>698</v>
      </c>
      <c r="J264" s="152" t="s">
        <v>551</v>
      </c>
    </row>
    <row r="265" spans="5:10" s="61" customFormat="1">
      <c r="F265" s="31">
        <v>6</v>
      </c>
      <c r="G265" s="167">
        <f ca="1">OFFSET(Cost_Ingredients!$L$204,F265,0)</f>
        <v>126500</v>
      </c>
      <c r="H265" s="167">
        <f ca="1">OFFSET(Cost_Ingredients!$O$204,F265,0)</f>
        <v>10</v>
      </c>
      <c r="I265" s="12"/>
      <c r="J265" s="115">
        <v>12</v>
      </c>
    </row>
    <row r="266" spans="5:10" s="61" customFormat="1">
      <c r="F266" s="31">
        <v>1</v>
      </c>
      <c r="G266" s="167">
        <f ca="1">OFFSET(Cost_Ingredients!$L$204,F266,0)</f>
        <v>0</v>
      </c>
      <c r="H266" s="167">
        <f ca="1">OFFSET(Cost_Ingredients!$O$204,F266,0)</f>
        <v>0</v>
      </c>
      <c r="I266" s="12"/>
      <c r="J266" s="115">
        <v>0</v>
      </c>
    </row>
    <row r="267" spans="5:10" s="61" customFormat="1">
      <c r="F267" s="31">
        <v>1</v>
      </c>
      <c r="G267" s="167">
        <f ca="1">OFFSET(Cost_Ingredients!$L$204,F267,0)</f>
        <v>0</v>
      </c>
      <c r="H267" s="167">
        <f ca="1">OFFSET(Cost_Ingredients!$O$204,F267,0)</f>
        <v>0</v>
      </c>
      <c r="I267" s="12"/>
      <c r="J267" s="115"/>
    </row>
    <row r="268" spans="5:10" s="61" customFormat="1">
      <c r="F268" s="31">
        <v>1</v>
      </c>
      <c r="G268" s="167">
        <f ca="1">OFFSET(Cost_Ingredients!$L$204,F268,0)</f>
        <v>0</v>
      </c>
      <c r="H268" s="167">
        <f ca="1">OFFSET(Cost_Ingredients!$O$204,F268,0)</f>
        <v>0</v>
      </c>
      <c r="I268" s="12"/>
      <c r="J268" s="115"/>
    </row>
    <row r="269" spans="5:10" s="61" customFormat="1">
      <c r="F269" s="31">
        <v>1</v>
      </c>
      <c r="G269" s="167">
        <f ca="1">OFFSET(Cost_Ingredients!$L$204,F269,0)</f>
        <v>0</v>
      </c>
      <c r="H269" s="167">
        <f ca="1">OFFSET(Cost_Ingredients!$O$204,F269,0)</f>
        <v>0</v>
      </c>
      <c r="I269" s="12"/>
      <c r="J269" s="115">
        <v>0</v>
      </c>
    </row>
    <row r="270" spans="5:10" s="61" customFormat="1">
      <c r="F270" s="152"/>
      <c r="G270" s="341"/>
      <c r="H270" s="18"/>
      <c r="I270" s="152" t="s">
        <v>697</v>
      </c>
      <c r="J270" s="195">
        <f ca="1">SUMPRODUCT(G265:G269*J265:J269)</f>
        <v>1518000</v>
      </c>
    </row>
    <row r="272" spans="5:10">
      <c r="E272" s="152" t="s">
        <v>554</v>
      </c>
      <c r="G272" s="338">
        <f ca="1">MAX(0,(J259-J270))</f>
        <v>0</v>
      </c>
    </row>
    <row r="274" spans="3:10" ht="15.6">
      <c r="C274" s="82" t="str">
        <f>"Estimated Cost for "&amp;C253</f>
        <v>Estimated Cost for Required Cold Storage Expansion at this Level</v>
      </c>
    </row>
    <row r="275" spans="3:10">
      <c r="G275" s="152" t="s">
        <v>117</v>
      </c>
    </row>
    <row r="276" spans="3:10">
      <c r="G276" s="31">
        <v>1</v>
      </c>
    </row>
    <row r="277" spans="3:10">
      <c r="E277" s="152" t="s">
        <v>692</v>
      </c>
    </row>
    <row r="278" spans="3:10">
      <c r="F278" s="152" t="s">
        <v>552</v>
      </c>
      <c r="G278" s="152" t="s">
        <v>555</v>
      </c>
      <c r="J278" s="342" t="str">
        <f ca="1">OFFSET(FLU_LU!$D$77,$G$276,0)</f>
        <v>USD</v>
      </c>
    </row>
    <row r="279" spans="3:10" s="61" customFormat="1">
      <c r="F279" s="134" t="str">
        <f ca="1">OFFSET(Cost_Ingredients!$D$204,F265,0)</f>
        <v>Solar battery refrigerator</v>
      </c>
      <c r="G279" s="95">
        <f ca="1">IF(G$275=2,OFFSET(Cost_Ingredients!$P$204,F265,0),OFFSET(Cost_Ingredients!$R$204,F265,0))</f>
        <v>4480</v>
      </c>
      <c r="J279" s="162">
        <f t="shared" ref="J279:J283" ca="1" si="9">G279*J265</f>
        <v>53760</v>
      </c>
    </row>
    <row r="280" spans="3:10" s="61" customFormat="1">
      <c r="F280" s="134" t="str">
        <f ca="1">OFFSET(Cost_Ingredients!$D$204,F266,0)</f>
        <v>&lt;select from this drop-down list&gt;</v>
      </c>
      <c r="G280" s="95">
        <f ca="1">IF(G$275=2,OFFSET(Cost_Ingredients!$P$204,F266,0),OFFSET(Cost_Ingredients!$R$204,F266,0))</f>
        <v>0</v>
      </c>
      <c r="J280" s="162">
        <f t="shared" ca="1" si="9"/>
        <v>0</v>
      </c>
    </row>
    <row r="281" spans="3:10" s="61" customFormat="1">
      <c r="F281" s="134" t="str">
        <f ca="1">OFFSET(Cost_Ingredients!$D$204,F267,0)</f>
        <v>&lt;select from this drop-down list&gt;</v>
      </c>
      <c r="G281" s="95">
        <f ca="1">IF(G$275=2,OFFSET(Cost_Ingredients!$P$204,F267,0),OFFSET(Cost_Ingredients!$R$204,F267,0))</f>
        <v>0</v>
      </c>
      <c r="J281" s="162">
        <f t="shared" ca="1" si="9"/>
        <v>0</v>
      </c>
    </row>
    <row r="282" spans="3:10" s="61" customFormat="1">
      <c r="F282" s="134" t="str">
        <f ca="1">OFFSET(Cost_Ingredients!$D$204,F268,0)</f>
        <v>&lt;select from this drop-down list&gt;</v>
      </c>
      <c r="G282" s="95">
        <f ca="1">IF(G$275=2,OFFSET(Cost_Ingredients!$P$204,F268,0),OFFSET(Cost_Ingredients!$R$204,F268,0))</f>
        <v>0</v>
      </c>
      <c r="J282" s="162">
        <f t="shared" ca="1" si="9"/>
        <v>0</v>
      </c>
    </row>
    <row r="283" spans="3:10" s="61" customFormat="1">
      <c r="F283" s="134" t="str">
        <f ca="1">OFFSET(Cost_Ingredients!$D$204,F269,0)</f>
        <v>&lt;select from this drop-down list&gt;</v>
      </c>
      <c r="G283" s="95">
        <f ca="1">IF(G$275=2,OFFSET(Cost_Ingredients!$P$204,F269,0),OFFSET(Cost_Ingredients!$R$204,F269,0))</f>
        <v>0</v>
      </c>
      <c r="J283" s="162">
        <f t="shared" ca="1" si="9"/>
        <v>0</v>
      </c>
    </row>
    <row r="284" spans="3:10" s="61" customFormat="1">
      <c r="F284" s="152" t="s">
        <v>695</v>
      </c>
      <c r="G284" s="18"/>
      <c r="J284" s="255">
        <f ca="1">SUM(J279:J283)</f>
        <v>53760</v>
      </c>
    </row>
    <row r="285" spans="3:10">
      <c r="E285" s="152" t="s">
        <v>693</v>
      </c>
    </row>
    <row r="286" spans="3:10">
      <c r="F286" s="152" t="s">
        <v>552</v>
      </c>
      <c r="G286" s="152" t="s">
        <v>555</v>
      </c>
      <c r="J286" s="342" t="str">
        <f ca="1">OFFSET(FLU_LU!$D$77,$G$276,0)</f>
        <v>USD</v>
      </c>
    </row>
    <row r="287" spans="3:10" s="61" customFormat="1">
      <c r="F287" s="159" t="str">
        <f ca="1">OFFSET(Cost_Ingredients!$D$204,F265,0)</f>
        <v>Solar battery refrigerator</v>
      </c>
      <c r="G287" s="95">
        <f ca="1">IF(G$276=2,OFFSET(Cost_Ingredients!$Q$204,F265,0),OFFSET(Cost_Ingredients!$S$204,F265,0))</f>
        <v>4480</v>
      </c>
      <c r="J287" s="167">
        <f t="shared" ref="J287:J291" ca="1" si="10">G287*J265</f>
        <v>53760</v>
      </c>
    </row>
    <row r="288" spans="3:10" s="61" customFormat="1">
      <c r="F288" s="159" t="str">
        <f ca="1">OFFSET(Cost_Ingredients!$D$204,F266,0)</f>
        <v>&lt;select from this drop-down list&gt;</v>
      </c>
      <c r="G288" s="95">
        <f ca="1">IF(G$276=2,OFFSET(Cost_Ingredients!$Q$204,F266,0),OFFSET(Cost_Ingredients!$S$204,F266,0))</f>
        <v>0</v>
      </c>
      <c r="J288" s="167">
        <f t="shared" ca="1" si="10"/>
        <v>0</v>
      </c>
    </row>
    <row r="289" spans="5:10" s="61" customFormat="1">
      <c r="F289" s="159" t="str">
        <f ca="1">OFFSET(Cost_Ingredients!$D$204,F267,0)</f>
        <v>&lt;select from this drop-down list&gt;</v>
      </c>
      <c r="G289" s="95">
        <f ca="1">IF(G$276=2,OFFSET(Cost_Ingredients!$Q$204,F267,0),OFFSET(Cost_Ingredients!$S$204,F267,0))</f>
        <v>0</v>
      </c>
      <c r="J289" s="167">
        <f t="shared" ca="1" si="10"/>
        <v>0</v>
      </c>
    </row>
    <row r="290" spans="5:10" s="61" customFormat="1">
      <c r="F290" s="159" t="str">
        <f ca="1">OFFSET(Cost_Ingredients!$D$204,F268,0)</f>
        <v>&lt;select from this drop-down list&gt;</v>
      </c>
      <c r="G290" s="95">
        <f ca="1">IF(G$276=2,OFFSET(Cost_Ingredients!$Q$204,F268,0),OFFSET(Cost_Ingredients!$S$204,F268,0))</f>
        <v>0</v>
      </c>
      <c r="J290" s="167">
        <f t="shared" ca="1" si="10"/>
        <v>0</v>
      </c>
    </row>
    <row r="291" spans="5:10" s="61" customFormat="1">
      <c r="F291" s="159" t="str">
        <f ca="1">OFFSET(Cost_Ingredients!$D$204,F269,0)</f>
        <v>&lt;select from this drop-down list&gt;</v>
      </c>
      <c r="G291" s="95">
        <f ca="1">IF(G$276=2,OFFSET(Cost_Ingredients!$Q$204,F269,0),OFFSET(Cost_Ingredients!$S$204,F269,0))</f>
        <v>0</v>
      </c>
      <c r="J291" s="167">
        <f t="shared" ca="1" si="10"/>
        <v>0</v>
      </c>
    </row>
    <row r="292" spans="5:10" s="61" customFormat="1">
      <c r="F292" s="152" t="s">
        <v>694</v>
      </c>
      <c r="G292" s="43"/>
      <c r="J292" s="255">
        <f ca="1">SUM(J287:J291)</f>
        <v>53760</v>
      </c>
    </row>
    <row r="294" spans="5:10">
      <c r="E294" s="152" t="s">
        <v>699</v>
      </c>
    </row>
    <row r="295" spans="5:10">
      <c r="F295" s="152" t="s">
        <v>552</v>
      </c>
      <c r="G295" s="152" t="s">
        <v>701</v>
      </c>
      <c r="J295" s="342" t="str">
        <f ca="1">OFFSET(FLU_LU!$D$77,$G$276,0)</f>
        <v>USD</v>
      </c>
    </row>
    <row r="296" spans="5:10" s="61" customFormat="1">
      <c r="F296" s="134" t="str">
        <f ca="1">OFFSET(Cost_Ingredients!$D$204,F265,0)</f>
        <v>Solar battery refrigerator</v>
      </c>
      <c r="G296" s="95">
        <f ca="1">IF(G$276=2,OFFSET(Cost_Ingredients!$T$204,F265,0),OFFSET(Cost_Ingredients!$V$204,F265,0))</f>
        <v>448</v>
      </c>
      <c r="J296" s="162">
        <f t="shared" ref="J296:J300" ca="1" si="11">G296*J265</f>
        <v>5376</v>
      </c>
    </row>
    <row r="297" spans="5:10" s="61" customFormat="1">
      <c r="F297" s="134" t="str">
        <f ca="1">OFFSET(Cost_Ingredients!$D$204,F266,0)</f>
        <v>&lt;select from this drop-down list&gt;</v>
      </c>
      <c r="G297" s="95">
        <f ca="1">IF(G$276=2,OFFSET(Cost_Ingredients!$T$204,F266,0),OFFSET(Cost_Ingredients!$V$204,F266,0))</f>
        <v>0</v>
      </c>
      <c r="J297" s="162">
        <f t="shared" ca="1" si="11"/>
        <v>0</v>
      </c>
    </row>
    <row r="298" spans="5:10" s="61" customFormat="1">
      <c r="F298" s="134" t="str">
        <f ca="1">OFFSET(Cost_Ingredients!$D$204,F267,0)</f>
        <v>&lt;select from this drop-down list&gt;</v>
      </c>
      <c r="G298" s="95">
        <f ca="1">IF(G$276=2,OFFSET(Cost_Ingredients!$T$204,F267,0),OFFSET(Cost_Ingredients!$V$204,F267,0))</f>
        <v>0</v>
      </c>
      <c r="J298" s="162">
        <f t="shared" ca="1" si="11"/>
        <v>0</v>
      </c>
    </row>
    <row r="299" spans="5:10" s="61" customFormat="1">
      <c r="F299" s="134" t="str">
        <f ca="1">OFFSET(Cost_Ingredients!$D$204,F268,0)</f>
        <v>&lt;select from this drop-down list&gt;</v>
      </c>
      <c r="G299" s="95">
        <f ca="1">IF(G$276=2,OFFSET(Cost_Ingredients!$T$204,F268,0),OFFSET(Cost_Ingredients!$V$204,F268,0))</f>
        <v>0</v>
      </c>
      <c r="J299" s="162">
        <f t="shared" ca="1" si="11"/>
        <v>0</v>
      </c>
    </row>
    <row r="300" spans="5:10" s="61" customFormat="1">
      <c r="F300" s="134" t="str">
        <f ca="1">OFFSET(Cost_Ingredients!$D$204,F269,0)</f>
        <v>&lt;select from this drop-down list&gt;</v>
      </c>
      <c r="G300" s="95">
        <f ca="1">IF(G$276=2,OFFSET(Cost_Ingredients!$T$204,F269,0),OFFSET(Cost_Ingredients!$V$204,F269,0))</f>
        <v>0</v>
      </c>
      <c r="J300" s="162">
        <f t="shared" ca="1" si="11"/>
        <v>0</v>
      </c>
    </row>
    <row r="301" spans="5:10" s="61" customFormat="1">
      <c r="F301" s="152" t="s">
        <v>695</v>
      </c>
      <c r="G301" s="18"/>
      <c r="J301" s="255">
        <f ca="1">SUM(J296:J300)</f>
        <v>5376</v>
      </c>
    </row>
    <row r="302" spans="5:10">
      <c r="E302" s="152" t="s">
        <v>700</v>
      </c>
    </row>
    <row r="303" spans="5:10">
      <c r="F303" s="152" t="s">
        <v>552</v>
      </c>
      <c r="G303" s="152" t="s">
        <v>701</v>
      </c>
      <c r="J303" s="342" t="str">
        <f ca="1">OFFSET(FLU_LU!$D$77,$G$276,0)</f>
        <v>USD</v>
      </c>
    </row>
    <row r="304" spans="5:10" s="61" customFormat="1">
      <c r="F304" s="159" t="str">
        <f ca="1">OFFSET(Cost_Ingredients!$D$204,F265,0)</f>
        <v>Solar battery refrigerator</v>
      </c>
      <c r="G304" s="95">
        <f ca="1">IF(G$276=2,OFFSET(Cost_Ingredients!$U$204,F265,0),OFFSET(Cost_Ingredients!$W$204,F265,0))</f>
        <v>525.19266959111508</v>
      </c>
      <c r="J304" s="167">
        <f t="shared" ref="J304:J308" ca="1" si="12">G304*J265</f>
        <v>6302.3120350933805</v>
      </c>
    </row>
    <row r="305" spans="2:10" s="61" customFormat="1">
      <c r="F305" s="159" t="str">
        <f ca="1">OFFSET(Cost_Ingredients!$D$204,F266,0)</f>
        <v>&lt;select from this drop-down list&gt;</v>
      </c>
      <c r="G305" s="95">
        <f ca="1">IF(G$276=2,OFFSET(Cost_Ingredients!$U$204,F266,0),OFFSET(Cost_Ingredients!$W$204,F266,0))</f>
        <v>0</v>
      </c>
      <c r="J305" s="167">
        <f t="shared" ca="1" si="12"/>
        <v>0</v>
      </c>
    </row>
    <row r="306" spans="2:10" s="61" customFormat="1">
      <c r="F306" s="159" t="str">
        <f ca="1">OFFSET(Cost_Ingredients!$D$204,F267,0)</f>
        <v>&lt;select from this drop-down list&gt;</v>
      </c>
      <c r="G306" s="95">
        <f ca="1">IF(G$276=2,OFFSET(Cost_Ingredients!$U$204,F267,0),OFFSET(Cost_Ingredients!$W$204,F267,0))</f>
        <v>0</v>
      </c>
      <c r="J306" s="167">
        <f t="shared" ca="1" si="12"/>
        <v>0</v>
      </c>
    </row>
    <row r="307" spans="2:10" s="61" customFormat="1">
      <c r="F307" s="159" t="str">
        <f ca="1">OFFSET(Cost_Ingredients!$D$204,F268,0)</f>
        <v>&lt;select from this drop-down list&gt;</v>
      </c>
      <c r="G307" s="95">
        <f ca="1">IF(G$276=2,OFFSET(Cost_Ingredients!$U$204,F268,0),OFFSET(Cost_Ingredients!$W$204,F268,0))</f>
        <v>0</v>
      </c>
      <c r="J307" s="167">
        <f t="shared" ca="1" si="12"/>
        <v>0</v>
      </c>
    </row>
    <row r="308" spans="2:10" s="61" customFormat="1">
      <c r="F308" s="159" t="str">
        <f ca="1">OFFSET(Cost_Ingredients!$D$204,F269,0)</f>
        <v>&lt;select from this drop-down list&gt;</v>
      </c>
      <c r="G308" s="95">
        <f ca="1">IF(G$276=2,OFFSET(Cost_Ingredients!$U$204,F269,0),OFFSET(Cost_Ingredients!$W$204,F269,0))</f>
        <v>0</v>
      </c>
      <c r="J308" s="167">
        <f t="shared" ca="1" si="12"/>
        <v>0</v>
      </c>
    </row>
    <row r="309" spans="2:10" s="61" customFormat="1">
      <c r="F309" s="152" t="s">
        <v>694</v>
      </c>
      <c r="G309" s="43"/>
      <c r="J309" s="255">
        <f ca="1">SUM(J304:J308)</f>
        <v>6302.3120350933805</v>
      </c>
    </row>
    <row r="312" spans="2:10" ht="15.6">
      <c r="B312" s="82" t="str">
        <f>"OUTPUT - TOTAL "&amp;C274</f>
        <v>OUTPUT - TOTAL Estimated Cost for Required Cold Storage Expansion at this Level</v>
      </c>
    </row>
    <row r="314" spans="2:10">
      <c r="F314" s="155" t="str">
        <f>"Total Cost ("&amp;FLU_LU!$D$78&amp;")"</f>
        <v>Total Cost (USD)</v>
      </c>
    </row>
    <row r="315" spans="2:10">
      <c r="I315" s="68" t="s">
        <v>166</v>
      </c>
      <c r="J315" s="343">
        <f ca="1">IF($G$276=1,J284,J284/Cost_Ingredients!$J$21)</f>
        <v>53760</v>
      </c>
    </row>
    <row r="316" spans="2:10">
      <c r="I316" s="68" t="s">
        <v>167</v>
      </c>
      <c r="J316" s="343">
        <f ca="1">IF($G$276=1,J292,J292/Cost_Ingredients!$J$21)</f>
        <v>53760</v>
      </c>
    </row>
    <row r="318" spans="2:10">
      <c r="F318" s="155" t="str">
        <f>"Total Cost ("&amp;FLU_LU!$D$79&amp;")"</f>
        <v>Total Cost (GOZ)</v>
      </c>
      <c r="I318" s="68" t="s">
        <v>166</v>
      </c>
      <c r="J318" s="95">
        <f ca="1">IF($G$276=2,J284,J284*Cost_Ingredients!$J$21)</f>
        <v>8064000</v>
      </c>
    </row>
    <row r="319" spans="2:10">
      <c r="I319" s="68" t="s">
        <v>167</v>
      </c>
      <c r="J319" s="95">
        <f ca="1">IF($G$276=2,J292,J292*Cost_Ingredients!$J$21)</f>
        <v>8064000</v>
      </c>
    </row>
    <row r="321" spans="3:10">
      <c r="F321" s="155" t="str">
        <f>"Total Cost - Annualized ("&amp;FLU_LU!$D$78&amp;")"</f>
        <v>Total Cost - Annualized (USD)</v>
      </c>
    </row>
    <row r="322" spans="3:10">
      <c r="I322" s="68" t="s">
        <v>166</v>
      </c>
      <c r="J322" s="343">
        <f ca="1">IF($G$276=1,J301,J301/Cost_Ingredients!$J$21)</f>
        <v>5376</v>
      </c>
    </row>
    <row r="323" spans="3:10">
      <c r="I323" s="68" t="s">
        <v>167</v>
      </c>
      <c r="J323" s="343">
        <f ca="1">IF($G$276=1,J309,J309/Cost_Ingredients!$J$21)</f>
        <v>6302.3120350933805</v>
      </c>
    </row>
    <row r="325" spans="3:10">
      <c r="F325" s="155" t="str">
        <f>"Total Cost - Annualized ("&amp;FLU_LU!$D$79&amp;")"</f>
        <v>Total Cost - Annualized (GOZ)</v>
      </c>
      <c r="I325" s="68" t="s">
        <v>166</v>
      </c>
      <c r="J325" s="95">
        <f ca="1">IF($G$276=2,J301,J301*Cost_Ingredients!$J$21)</f>
        <v>806400</v>
      </c>
    </row>
    <row r="326" spans="3:10">
      <c r="I326" s="68" t="s">
        <v>167</v>
      </c>
      <c r="J326" s="95">
        <f ca="1">IF($G$276=2,J309,J309*Cost_Ingredients!$J$21)</f>
        <v>945346.80526400707</v>
      </c>
    </row>
    <row r="327" spans="3:10" ht="15" thickBot="1">
      <c r="C327" s="55"/>
      <c r="D327" s="55"/>
      <c r="E327" s="55"/>
      <c r="F327" s="55"/>
      <c r="G327" s="55"/>
      <c r="H327" s="55"/>
      <c r="I327" s="55"/>
      <c r="J327" s="55"/>
    </row>
  </sheetData>
  <mergeCells count="5">
    <mergeCell ref="G24:I24"/>
    <mergeCell ref="G25:I25"/>
    <mergeCell ref="G26:I26"/>
    <mergeCell ref="G27:I27"/>
    <mergeCell ref="B3:E3"/>
  </mergeCells>
  <dataValidations count="3">
    <dataValidation type="custom" showErrorMessage="1" errorTitle="Invalid Assumption" error="Assumption must be a number." sqref="J45:J46 J55 J144:J145 J135 G18:G19 J155 J165:J169 J63:J67 J265:J269 J255 J244:J245 J235" xr:uid="{00000000-0002-0000-1600-000000000000}">
      <formula1>NOT(ISERROR(G18/1))</formula1>
    </dataValidation>
    <dataValidation type="whole" showDropDown="1" showErrorMessage="1" errorTitle="Drop Down Box Cell Link" error="The value in a drop down box cell link must be a whole number within the control's lookup range rows." sqref="F63:F67 F165:F169 F265:F269" xr:uid="{00000000-0002-0000-1600-000001000000}">
      <formula1>1</formula1>
      <formula2>ROWS(LU_FLU_CAP_PRICES_GROUP_C)</formula2>
    </dataValidation>
    <dataValidation type="whole" showDropDown="1" showErrorMessage="1" errorTitle="Drop Down Box Cell Link" error="The value in a drop down box cell link must be a whole number within the control's lookup range rows." sqref="G74 G176 G276" xr:uid="{00000000-0002-0000-1600-000002000000}">
      <formula1>1</formula1>
      <formula2>ROWS(LU_FLU_Curr_Code)</formula2>
    </dataValidation>
  </dataValidations>
  <hyperlinks>
    <hyperlink ref="B4" location="HL_Sheet_Main_25" tooltip="Go to Previous Sheet" display="HL_Sheet_Main_25" xr:uid="{00000000-0004-0000-1600-000000000000}"/>
    <hyperlink ref="A4" location="$B$10" tooltip="Go to Top of Sheet" display="$B$10" xr:uid="{00000000-0004-0000-1600-000001000000}"/>
    <hyperlink ref="C4" location="HL_Sheet_Main_3" tooltip="Go to Next Sheet" display="HL_Sheet_Main_3" xr:uid="{00000000-0004-0000-1600-000002000000}"/>
    <hyperlink ref="B3" location="HL_Home" tooltip="Go to Table of Contents" display="HL_Home" xr:uid="{00000000-0004-0000-1600-000003000000}"/>
    <hyperlink ref="D4" location="HL_Err_Chk" tooltip="Go to Error Checks" display="HL_Err_Chk" xr:uid="{00000000-0004-0000-1600-000004000000}"/>
    <hyperlink ref="E4" location="HL_Sens_Chk" tooltip="Go to Sensitivity Checks" display="HL_Sens_Chk" xr:uid="{00000000-0004-0000-1600-000005000000}"/>
    <hyperlink ref="F4" location="HL_Alt_Chk" tooltip="Go to Alert Checks" display="HL_Alt_Chk" xr:uid="{00000000-0004-0000-1600-000006000000}"/>
  </hyperlinks>
  <pageMargins left="0.4" right="0.4" top="0.6" bottom="1" header="0" footer="0.3"/>
  <pageSetup orientation="landscape" horizontalDpi="4294967292" verticalDpi="0" r:id="rId1"/>
  <headerFooter>
    <oddFooter>&amp;L&amp;F
&amp;A
Printed: &amp;T on &amp;D&amp;C&amp;",Bold"Sheet o.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8310" r:id="rId4" name="bpmDropDownFLU31">
              <controlPr defaultSize="0" autoFill="0" autoPict="0">
                <anchor mov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908311" r:id="rId5" name="bpmDropDownFLU40">
              <controlPr defaultSize="0" autoFill="0" autoPict="0">
                <anchor moveWithCells="1">
                  <from>
                    <xdr:col>5</xdr:col>
                    <xdr:colOff>0</xdr:colOff>
                    <xdr:row>164</xdr:row>
                    <xdr:rowOff>0</xdr:rowOff>
                  </from>
                  <to>
                    <xdr:col>6</xdr:col>
                    <xdr:colOff>0</xdr:colOff>
                    <xdr:row>165</xdr:row>
                    <xdr:rowOff>0</xdr:rowOff>
                  </to>
                </anchor>
              </controlPr>
            </control>
          </mc:Choice>
        </mc:AlternateContent>
        <mc:AlternateContent xmlns:mc="http://schemas.openxmlformats.org/markup-compatibility/2006">
          <mc:Choice Requires="x14">
            <control shapeId="908312" r:id="rId6" name="bpmDropDownFLU44">
              <controlPr defaultSize="0" autoFill="0" autoPict="0">
                <anchor moveWithCells="1">
                  <from>
                    <xdr:col>5</xdr:col>
                    <xdr:colOff>0</xdr:colOff>
                    <xdr:row>165</xdr:row>
                    <xdr:rowOff>0</xdr:rowOff>
                  </from>
                  <to>
                    <xdr:col>6</xdr:col>
                    <xdr:colOff>0</xdr:colOff>
                    <xdr:row>166</xdr:row>
                    <xdr:rowOff>0</xdr:rowOff>
                  </to>
                </anchor>
              </controlPr>
            </control>
          </mc:Choice>
        </mc:AlternateContent>
        <mc:AlternateContent xmlns:mc="http://schemas.openxmlformats.org/markup-compatibility/2006">
          <mc:Choice Requires="x14">
            <control shapeId="908313" r:id="rId7" name="bpmDropDownFLU65">
              <controlPr defaultSize="0" autoFill="0" autoPict="0">
                <anchor moveWithCells="1">
                  <from>
                    <xdr:col>5</xdr:col>
                    <xdr:colOff>0</xdr:colOff>
                    <xdr:row>166</xdr:row>
                    <xdr:rowOff>0</xdr:rowOff>
                  </from>
                  <to>
                    <xdr:col>6</xdr:col>
                    <xdr:colOff>0</xdr:colOff>
                    <xdr:row>167</xdr:row>
                    <xdr:rowOff>0</xdr:rowOff>
                  </to>
                </anchor>
              </controlPr>
            </control>
          </mc:Choice>
        </mc:AlternateContent>
        <mc:AlternateContent xmlns:mc="http://schemas.openxmlformats.org/markup-compatibility/2006">
          <mc:Choice Requires="x14">
            <control shapeId="908314" r:id="rId8" name="bpmDropDownFLU77">
              <controlPr defaultSize="0" autoFill="0" autoPict="0">
                <anchor moveWithCells="1">
                  <from>
                    <xdr:col>5</xdr:col>
                    <xdr:colOff>0</xdr:colOff>
                    <xdr:row>167</xdr:row>
                    <xdr:rowOff>0</xdr:rowOff>
                  </from>
                  <to>
                    <xdr:col>6</xdr:col>
                    <xdr:colOff>0</xdr:colOff>
                    <xdr:row>168</xdr:row>
                    <xdr:rowOff>0</xdr:rowOff>
                  </to>
                </anchor>
              </controlPr>
            </control>
          </mc:Choice>
        </mc:AlternateContent>
        <mc:AlternateContent xmlns:mc="http://schemas.openxmlformats.org/markup-compatibility/2006">
          <mc:Choice Requires="x14">
            <control shapeId="908315" r:id="rId9" name="bpmDropDownFLU131">
              <controlPr defaultSize="0" autoFill="0" autoPict="0">
                <anchor mov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908317" r:id="rId10" name="bpmDropDownFLU842">
              <controlPr defaultSize="0" autoFill="0" autoPict="0">
                <anchor moveWithCells="1">
                  <from>
                    <xdr:col>5</xdr:col>
                    <xdr:colOff>0</xdr:colOff>
                    <xdr:row>168</xdr:row>
                    <xdr:rowOff>0</xdr:rowOff>
                  </from>
                  <to>
                    <xdr:col>6</xdr:col>
                    <xdr:colOff>0</xdr:colOff>
                    <xdr:row>169</xdr:row>
                    <xdr:rowOff>0</xdr:rowOff>
                  </to>
                </anchor>
              </controlPr>
            </control>
          </mc:Choice>
        </mc:AlternateContent>
        <mc:AlternateContent xmlns:mc="http://schemas.openxmlformats.org/markup-compatibility/2006">
          <mc:Choice Requires="x14">
            <control shapeId="908328" r:id="rId11" name="bpmDropDownFLU1002">
              <controlPr defaultSize="0" autoFill="0" autoPict="0">
                <anchor moveWithCells="1">
                  <from>
                    <xdr:col>5</xdr:col>
                    <xdr:colOff>0</xdr:colOff>
                    <xdr:row>62</xdr:row>
                    <xdr:rowOff>0</xdr:rowOff>
                  </from>
                  <to>
                    <xdr:col>6</xdr:col>
                    <xdr:colOff>0</xdr:colOff>
                    <xdr:row>63</xdr:row>
                    <xdr:rowOff>0</xdr:rowOff>
                  </to>
                </anchor>
              </controlPr>
            </control>
          </mc:Choice>
        </mc:AlternateContent>
        <mc:AlternateContent xmlns:mc="http://schemas.openxmlformats.org/markup-compatibility/2006">
          <mc:Choice Requires="x14">
            <control shapeId="908329" r:id="rId12" name="bpmDropDownFLU1018">
              <controlPr defaultSize="0" autoFill="0" autoPict="0">
                <anchor moveWithCells="1">
                  <from>
                    <xdr:col>5</xdr:col>
                    <xdr:colOff>0</xdr:colOff>
                    <xdr:row>63</xdr:row>
                    <xdr:rowOff>0</xdr:rowOff>
                  </from>
                  <to>
                    <xdr:col>6</xdr:col>
                    <xdr:colOff>0</xdr:colOff>
                    <xdr:row>64</xdr:row>
                    <xdr:rowOff>0</xdr:rowOff>
                  </to>
                </anchor>
              </controlPr>
            </control>
          </mc:Choice>
        </mc:AlternateContent>
        <mc:AlternateContent xmlns:mc="http://schemas.openxmlformats.org/markup-compatibility/2006">
          <mc:Choice Requires="x14">
            <control shapeId="908330" r:id="rId13" name="bpmDropDownFLU1032">
              <controlPr defaultSize="0" autoFill="0" autoPict="0">
                <anchor moveWithCells="1">
                  <from>
                    <xdr:col>5</xdr:col>
                    <xdr:colOff>0</xdr:colOff>
                    <xdr:row>64</xdr:row>
                    <xdr:rowOff>0</xdr:rowOff>
                  </from>
                  <to>
                    <xdr:col>6</xdr:col>
                    <xdr:colOff>0</xdr:colOff>
                    <xdr:row>65</xdr:row>
                    <xdr:rowOff>0</xdr:rowOff>
                  </to>
                </anchor>
              </controlPr>
            </control>
          </mc:Choice>
        </mc:AlternateContent>
        <mc:AlternateContent xmlns:mc="http://schemas.openxmlformats.org/markup-compatibility/2006">
          <mc:Choice Requires="x14">
            <control shapeId="908331" r:id="rId14" name="bpmDropDownFLU1053">
              <controlPr defaultSize="0" autoFill="0" autoPict="0">
                <anchor moveWithCells="1">
                  <from>
                    <xdr:col>5</xdr:col>
                    <xdr:colOff>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908332" r:id="rId15" name="bpmDropDownFLU1074">
              <controlPr defaultSize="0" autoFill="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908333" r:id="rId16" name="bpmDropDownFLU1090">
              <controlPr defaultSize="0" autoFill="0" autoPict="0">
                <anchor moveWithCells="1">
                  <from>
                    <xdr:col>5</xdr:col>
                    <xdr:colOff>0</xdr:colOff>
                    <xdr:row>264</xdr:row>
                    <xdr:rowOff>0</xdr:rowOff>
                  </from>
                  <to>
                    <xdr:col>6</xdr:col>
                    <xdr:colOff>0</xdr:colOff>
                    <xdr:row>265</xdr:row>
                    <xdr:rowOff>0</xdr:rowOff>
                  </to>
                </anchor>
              </controlPr>
            </control>
          </mc:Choice>
        </mc:AlternateContent>
        <mc:AlternateContent xmlns:mc="http://schemas.openxmlformats.org/markup-compatibility/2006">
          <mc:Choice Requires="x14">
            <control shapeId="908334" r:id="rId17" name="bpmDropDownFLU1094">
              <controlPr defaultSize="0" autoFill="0" autoPict="0">
                <anchor moveWithCells="1">
                  <from>
                    <xdr:col>5</xdr:col>
                    <xdr:colOff>0</xdr:colOff>
                    <xdr:row>265</xdr:row>
                    <xdr:rowOff>0</xdr:rowOff>
                  </from>
                  <to>
                    <xdr:col>6</xdr:col>
                    <xdr:colOff>0</xdr:colOff>
                    <xdr:row>266</xdr:row>
                    <xdr:rowOff>0</xdr:rowOff>
                  </to>
                </anchor>
              </controlPr>
            </control>
          </mc:Choice>
        </mc:AlternateContent>
        <mc:AlternateContent xmlns:mc="http://schemas.openxmlformats.org/markup-compatibility/2006">
          <mc:Choice Requires="x14">
            <control shapeId="908335" r:id="rId18" name="bpmDropDownFLU1115">
              <controlPr defaultSize="0" autoFill="0" autoPict="0">
                <anchor moveWithCells="1">
                  <from>
                    <xdr:col>5</xdr:col>
                    <xdr:colOff>0</xdr:colOff>
                    <xdr:row>266</xdr:row>
                    <xdr:rowOff>0</xdr:rowOff>
                  </from>
                  <to>
                    <xdr:col>6</xdr:col>
                    <xdr:colOff>0</xdr:colOff>
                    <xdr:row>267</xdr:row>
                    <xdr:rowOff>0</xdr:rowOff>
                  </to>
                </anchor>
              </controlPr>
            </control>
          </mc:Choice>
        </mc:AlternateContent>
        <mc:AlternateContent xmlns:mc="http://schemas.openxmlformats.org/markup-compatibility/2006">
          <mc:Choice Requires="x14">
            <control shapeId="908336" r:id="rId19" name="bpmDropDownFLU1136">
              <controlPr defaultSize="0" autoFill="0" autoPict="0">
                <anchor moveWithCells="1">
                  <from>
                    <xdr:col>5</xdr:col>
                    <xdr:colOff>0</xdr:colOff>
                    <xdr:row>267</xdr:row>
                    <xdr:rowOff>0</xdr:rowOff>
                  </from>
                  <to>
                    <xdr:col>6</xdr:col>
                    <xdr:colOff>0</xdr:colOff>
                    <xdr:row>268</xdr:row>
                    <xdr:rowOff>0</xdr:rowOff>
                  </to>
                </anchor>
              </controlPr>
            </control>
          </mc:Choice>
        </mc:AlternateContent>
        <mc:AlternateContent xmlns:mc="http://schemas.openxmlformats.org/markup-compatibility/2006">
          <mc:Choice Requires="x14">
            <control shapeId="908337" r:id="rId20" name="bpmDropDownFLU1146">
              <controlPr defaultSize="0" autoFill="0" autoPict="0">
                <anchor moveWithCells="1">
                  <from>
                    <xdr:col>5</xdr:col>
                    <xdr:colOff>0</xdr:colOff>
                    <xdr:row>268</xdr:row>
                    <xdr:rowOff>0</xdr:rowOff>
                  </from>
                  <to>
                    <xdr:col>6</xdr:col>
                    <xdr:colOff>0</xdr:colOff>
                    <xdr:row>269</xdr:row>
                    <xdr:rowOff>0</xdr:rowOff>
                  </to>
                </anchor>
              </controlPr>
            </control>
          </mc:Choice>
        </mc:AlternateContent>
        <mc:AlternateContent xmlns:mc="http://schemas.openxmlformats.org/markup-compatibility/2006">
          <mc:Choice Requires="x14">
            <control shapeId="908338" r:id="rId21" name="bpmDropDownFLU1162">
              <controlPr defaultSize="0" autoFill="0" autoPict="0">
                <anchor moveWithCells="1">
                  <from>
                    <xdr:col>6</xdr:col>
                    <xdr:colOff>0</xdr:colOff>
                    <xdr:row>275</xdr:row>
                    <xdr:rowOff>0</xdr:rowOff>
                  </from>
                  <to>
                    <xdr:col>7</xdr:col>
                    <xdr:colOff>0</xdr:colOff>
                    <xdr:row>276</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autoPageBreaks="0" fitToPage="1"/>
  </sheetPr>
  <dimension ref="C9:G20"/>
  <sheetViews>
    <sheetView showGridLines="0" zoomScaleNormal="100" workbookViewId="0"/>
  </sheetViews>
  <sheetFormatPr defaultColWidth="11.6640625" defaultRowHeight="14.4"/>
  <cols>
    <col min="3" max="6" width="3.6640625" customWidth="1"/>
  </cols>
  <sheetData>
    <row r="9" spans="3:7" ht="21">
      <c r="C9" s="56" t="s">
        <v>831</v>
      </c>
    </row>
    <row r="10" spans="3:7" ht="19.8">
      <c r="C10" s="7" t="s">
        <v>23</v>
      </c>
    </row>
    <row r="11" spans="3:7" ht="18">
      <c r="C11" s="164" t="str">
        <f>Model_Name</f>
        <v>Seasonal Influenza Immunization Costing Tool (SIICT)  - Test Country</v>
      </c>
    </row>
    <row r="12" spans="3:7">
      <c r="C12" s="668" t="s">
        <v>1</v>
      </c>
      <c r="D12" s="668"/>
      <c r="E12" s="668"/>
      <c r="F12" s="668"/>
      <c r="G12" s="668"/>
    </row>
    <row r="13" spans="3:7">
      <c r="C13" s="5" t="s">
        <v>4</v>
      </c>
      <c r="D13" s="6" t="s">
        <v>5</v>
      </c>
    </row>
    <row r="17" spans="3:3">
      <c r="C17" s="2"/>
    </row>
    <row r="18" spans="3:3">
      <c r="C18" s="3"/>
    </row>
    <row r="19" spans="3:3">
      <c r="C19" s="3"/>
    </row>
    <row r="20" spans="3:3">
      <c r="C20" s="3"/>
    </row>
  </sheetData>
  <mergeCells count="1">
    <mergeCell ref="C12:G12"/>
  </mergeCells>
  <hyperlinks>
    <hyperlink ref="D13" location="HL_Sheet_Main_41" tooltip="Go to Next Sheet" display="HL_Sheet_Main_41" xr:uid="{00000000-0004-0000-1700-000000000000}"/>
    <hyperlink ref="C13" location="HL_Sheet_Main_11" tooltip="Go to Previous Sheet" display="HL_Sheet_Main_11" xr:uid="{00000000-0004-0000-1700-000001000000}"/>
    <hyperlink ref="C12" location="HL_Home" tooltip="Go to Table of Contents" display="HL_Home" xr:uid="{00000000-0004-0000-1700-000002000000}"/>
  </hyperlinks>
  <pageMargins left="0.39370078740157499" right="0.39370078740157499" top="0.59055118110236204" bottom="0.98425196850393704" header="0" footer="0.31496062992126"/>
  <pageSetup orientation="landscape" horizontalDpi="0" verticalDpi="0" r:id="rId1"/>
  <headerFooter>
    <oddFooter>&amp;L&amp;F
&amp;A
Printed: &amp;T on &amp;D&amp;CPage &amp;P of &amp;N</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tabColor indexed="62"/>
    <pageSetUpPr autoPageBreaks="0"/>
  </sheetPr>
  <dimension ref="A1:T280"/>
  <sheetViews>
    <sheetView showGridLines="0" showZeros="0" zoomScaleNormal="100" workbookViewId="0">
      <pane xSplit="1" ySplit="4" topLeftCell="B5" activePane="bottomRight" state="frozen"/>
      <selection pane="topRight"/>
      <selection pane="bottomLeft"/>
      <selection pane="bottomRight"/>
    </sheetView>
  </sheetViews>
  <sheetFormatPr defaultColWidth="0" defaultRowHeight="14.4" outlineLevelRow="1"/>
  <cols>
    <col min="1" max="5" width="3.6640625" style="134" customWidth="1"/>
    <col min="6" max="7" width="11.6640625" style="134" customWidth="1"/>
    <col min="8" max="8" width="30.6640625" style="134" customWidth="1"/>
    <col min="9" max="10" width="11.6640625" style="134" customWidth="1"/>
    <col min="11" max="11" width="11.77734375" style="134" customWidth="1"/>
    <col min="12" max="15" width="11.6640625" style="134" customWidth="1"/>
    <col min="16" max="16" width="30.6640625" style="134" customWidth="1"/>
    <col min="17" max="18" width="11.6640625" style="134" customWidth="1"/>
    <col min="19" max="20" width="0" style="134" hidden="1" customWidth="1"/>
    <col min="21" max="16384" width="11.6640625" style="134" hidden="1"/>
  </cols>
  <sheetData>
    <row r="1" spans="1:16" ht="21">
      <c r="B1" s="46" t="s">
        <v>271</v>
      </c>
    </row>
    <row r="2" spans="1:16" ht="18">
      <c r="B2" s="47" t="str">
        <f>Model_Name</f>
        <v>Seasonal Influenza Immunization Costing Tool (SIICT)  - Test Country</v>
      </c>
    </row>
    <row r="3" spans="1:16">
      <c r="B3" s="716" t="s">
        <v>1</v>
      </c>
      <c r="C3" s="716"/>
      <c r="D3" s="716"/>
      <c r="E3" s="716"/>
      <c r="F3" s="716"/>
    </row>
    <row r="4" spans="1:16">
      <c r="A4" s="48" t="s">
        <v>3</v>
      </c>
      <c r="B4" s="49" t="s">
        <v>4</v>
      </c>
      <c r="C4" s="50" t="s">
        <v>5</v>
      </c>
      <c r="D4" s="51" t="s">
        <v>25</v>
      </c>
      <c r="E4" s="79" t="s">
        <v>26</v>
      </c>
      <c r="F4" s="52" t="s">
        <v>27</v>
      </c>
    </row>
    <row r="5" spans="1:16">
      <c r="I5" s="23"/>
      <c r="K5" s="23"/>
      <c r="L5" s="23"/>
      <c r="M5" s="23"/>
      <c r="N5" s="23"/>
      <c r="O5" s="23"/>
    </row>
    <row r="6" spans="1:16">
      <c r="I6" s="23"/>
      <c r="K6" s="23"/>
      <c r="L6" s="23"/>
      <c r="M6" s="23"/>
      <c r="N6" s="23"/>
      <c r="O6" s="23"/>
    </row>
    <row r="7" spans="1:16" ht="17.399999999999999">
      <c r="B7" s="15" t="s">
        <v>257</v>
      </c>
      <c r="G7" s="23"/>
      <c r="I7" s="23"/>
      <c r="K7" s="23"/>
      <c r="L7" s="23"/>
      <c r="M7" s="23"/>
      <c r="N7" s="23"/>
      <c r="O7" s="23"/>
    </row>
    <row r="8" spans="1:16" s="23" customFormat="1"/>
    <row r="9" spans="1:16" s="23" customFormat="1"/>
    <row r="10" spans="1:16" ht="17.399999999999999">
      <c r="B10" s="81" t="str">
        <f>"Detailed Costing "&amp;MICRO!E17</f>
        <v>Detailed Costing Develop Annual Influenza Programme Plan and Budget</v>
      </c>
      <c r="I10" s="23"/>
      <c r="K10" s="23"/>
      <c r="L10" s="23"/>
      <c r="M10" s="23"/>
      <c r="N10" s="23"/>
      <c r="O10" s="23"/>
    </row>
    <row r="11" spans="1:16" s="23" customFormat="1"/>
    <row r="12" spans="1:16" s="23" customFormat="1">
      <c r="F12" s="152" t="s">
        <v>597</v>
      </c>
      <c r="H12" s="667" t="s">
        <v>598</v>
      </c>
      <c r="I12" s="667"/>
      <c r="J12" s="667"/>
      <c r="K12" s="667"/>
      <c r="L12" s="667"/>
      <c r="M12" s="667"/>
      <c r="N12" s="667"/>
      <c r="O12" s="667"/>
      <c r="P12" s="667"/>
    </row>
    <row r="13" spans="1:16" s="23" customFormat="1"/>
    <row r="14" spans="1:16" s="23" customFormat="1">
      <c r="E14" s="152" t="s">
        <v>273</v>
      </c>
    </row>
    <row r="15" spans="1:16" s="23" customFormat="1"/>
    <row r="16" spans="1:16" s="23" customFormat="1">
      <c r="C16" s="153" t="str">
        <f>FLU_LU!$D$278</f>
        <v xml:space="preserve">Personnel </v>
      </c>
    </row>
    <row r="17" spans="4:16" s="23" customFormat="1" ht="43.2" outlineLevel="1">
      <c r="D17" s="733" t="s">
        <v>100</v>
      </c>
      <c r="E17" s="733"/>
      <c r="F17" s="733"/>
      <c r="G17" s="733"/>
      <c r="H17" s="142" t="s">
        <v>274</v>
      </c>
      <c r="I17" s="72" t="s">
        <v>474</v>
      </c>
      <c r="J17" s="152" t="s">
        <v>67</v>
      </c>
      <c r="K17" s="72" t="s">
        <v>475</v>
      </c>
      <c r="L17" s="28" t="str">
        <f>"Financial Price ("&amp;FLU_LU!$D$79&amp;")"</f>
        <v>Financial Price (GOZ)</v>
      </c>
      <c r="M17" s="28" t="str">
        <f>"Economic Price ("&amp;FLU_LU!$D$79&amp;")"</f>
        <v>Economic Price (GOZ)</v>
      </c>
      <c r="N17" s="28" t="str">
        <f>"Financial Price ("&amp;FLU_LU!$D$78&amp;")"</f>
        <v>Financial Price (USD)</v>
      </c>
      <c r="O17" s="28" t="str">
        <f>"Economic Price ("&amp;FLU_LU!$D$78&amp;")"</f>
        <v>Economic Price (USD)</v>
      </c>
      <c r="P17" s="152" t="s">
        <v>68</v>
      </c>
    </row>
    <row r="18" spans="4:16" s="23" customFormat="1" outlineLevel="1">
      <c r="D18" s="746">
        <v>2</v>
      </c>
      <c r="E18" s="746"/>
      <c r="F18" s="746"/>
      <c r="G18" s="749"/>
      <c r="H18" s="151" t="s">
        <v>276</v>
      </c>
      <c r="I18" s="31">
        <v>1</v>
      </c>
      <c r="J18" s="64">
        <v>24</v>
      </c>
      <c r="K18" s="135">
        <f>IF(DD_FLU_Detailed_Micro_Time_1=1,J18/FLU_DAYS_PER_MONTH,IF(DD_FLU_Detailed_Micro_Time_1=2,J18/FLU_HOURS_PER_MONTH,J18/FLU_MINUTES_PER_MONTH))</f>
        <v>1.0909090909090908</v>
      </c>
      <c r="L18" s="162">
        <f ca="1">OFFSET(Cost_Ingredients!$N$73,DD_FLU_DETAIL_MICRO_A_1,0)*$K18</f>
        <v>0</v>
      </c>
      <c r="M18" s="162">
        <f ca="1">OFFSET(Cost_Ingredients!$O$73,DD_FLU_DETAIL_MICRO_A_1,0)*$K18</f>
        <v>0</v>
      </c>
      <c r="N18" s="179">
        <f ca="1">L18/Cost_Ingredients!$J$21</f>
        <v>0</v>
      </c>
      <c r="O18" s="179">
        <f ca="1">M18/Cost_Ingredients!$J$21</f>
        <v>0</v>
      </c>
      <c r="P18" s="151"/>
    </row>
    <row r="19" spans="4:16" s="23" customFormat="1" outlineLevel="1">
      <c r="D19" s="746">
        <v>2</v>
      </c>
      <c r="E19" s="746"/>
      <c r="F19" s="746"/>
      <c r="G19" s="749"/>
      <c r="H19" s="151" t="s">
        <v>353</v>
      </c>
      <c r="I19" s="31">
        <v>2</v>
      </c>
      <c r="J19" s="64">
        <v>24</v>
      </c>
      <c r="K19" s="135">
        <f>IF(DD_FLU_Detailed_Micro_Time_2=1,J19/FLU_DAYS_PER_MONTH,IF(DD_FLU_Detailed_Micro_Time_2=2,J19/FLU_HOURS_PER_MONTH,J19/FLU_MINUTES_PER_MONTH))</f>
        <v>0.13636363636363635</v>
      </c>
      <c r="L19" s="162">
        <f ca="1">OFFSET(Cost_Ingredients!$N$73,DD_FLU_DETAIL_MICRO_A_2,0)*$K19</f>
        <v>0</v>
      </c>
      <c r="M19" s="162">
        <f ca="1">OFFSET(Cost_Ingredients!$O$73,DD_FLU_DETAIL_MICRO_A_2,0)*$K19</f>
        <v>0</v>
      </c>
      <c r="N19" s="179">
        <f ca="1">L19/Cost_Ingredients!$J$21</f>
        <v>0</v>
      </c>
      <c r="O19" s="179">
        <f ca="1">M19/Cost_Ingredients!$J$21</f>
        <v>0</v>
      </c>
      <c r="P19" s="151"/>
    </row>
    <row r="20" spans="4:16" s="23" customFormat="1" outlineLevel="1">
      <c r="D20" s="746">
        <v>1</v>
      </c>
      <c r="E20" s="746"/>
      <c r="F20" s="746"/>
      <c r="G20" s="749"/>
      <c r="H20" s="151" t="s">
        <v>353</v>
      </c>
      <c r="I20" s="31">
        <v>2</v>
      </c>
      <c r="J20" s="64">
        <v>24</v>
      </c>
      <c r="K20" s="135">
        <f>IF(DD_FLU_Detailed_Micro_Time_3=1,J20/FLU_DAYS_PER_MONTH,IF(DD_FLU_Detailed_Micro_Time_3=2,J20/FLU_HOURS_PER_MONTH,J20/FLU_MINUTES_PER_MONTH))</f>
        <v>0.13636363636363635</v>
      </c>
      <c r="L20" s="162">
        <f ca="1">OFFSET(Cost_Ingredients!$N$73,DD_FLU_DETAIL_MICRO_A_3,0)*$K20</f>
        <v>0</v>
      </c>
      <c r="M20" s="162">
        <f ca="1">OFFSET(Cost_Ingredients!$O$73,DD_FLU_DETAIL_MICRO_A_3,0)*$K20</f>
        <v>0</v>
      </c>
      <c r="N20" s="179">
        <f ca="1">L20/Cost_Ingredients!$J$21</f>
        <v>0</v>
      </c>
      <c r="O20" s="179">
        <f ca="1">M20/Cost_Ingredients!$J$21</f>
        <v>0</v>
      </c>
      <c r="P20" s="151"/>
    </row>
    <row r="21" spans="4:16" s="23" customFormat="1" outlineLevel="1">
      <c r="D21" s="746">
        <v>1</v>
      </c>
      <c r="E21" s="746"/>
      <c r="F21" s="746"/>
      <c r="G21" s="749"/>
      <c r="H21" s="151" t="s">
        <v>353</v>
      </c>
      <c r="I21" s="31">
        <v>2</v>
      </c>
      <c r="J21" s="64">
        <v>8</v>
      </c>
      <c r="K21" s="135">
        <f>IF(DD_FLU_Detailed_Micro_Time_4=1,J21/FLU_DAYS_PER_MONTH,IF(DD_FLU_Detailed_Micro_Time_4=2,J21/FLU_HOURS_PER_MONTH,J21/FLU_MINUTES_PER_MONTH))</f>
        <v>4.5454545454545456E-2</v>
      </c>
      <c r="L21" s="162">
        <f ca="1">OFFSET(Cost_Ingredients!$N$73,DD_FLU_DETAIL_MICRO_A_4,0)*$K21</f>
        <v>0</v>
      </c>
      <c r="M21" s="162">
        <f ca="1">OFFSET(Cost_Ingredients!$O$73,DD_FLU_DETAIL_MICRO_A_4,0)*$K21</f>
        <v>0</v>
      </c>
      <c r="N21" s="179">
        <f ca="1">L21/Cost_Ingredients!$J$21</f>
        <v>0</v>
      </c>
      <c r="O21" s="179">
        <f ca="1">M21/Cost_Ingredients!$J$21</f>
        <v>0</v>
      </c>
      <c r="P21" s="151"/>
    </row>
    <row r="22" spans="4:16" s="23" customFormat="1" outlineLevel="1">
      <c r="D22" s="746">
        <v>1</v>
      </c>
      <c r="E22" s="746"/>
      <c r="F22" s="746"/>
      <c r="G22" s="749"/>
      <c r="H22" s="151" t="s">
        <v>353</v>
      </c>
      <c r="I22" s="31">
        <v>2</v>
      </c>
      <c r="J22" s="64">
        <v>8</v>
      </c>
      <c r="K22" s="135">
        <f>IF(DD_FLU_Detailed_Micro_Time_5=1,J22/FLU_DAYS_PER_MONTH,IF(DD_FLU_Detailed_Micro_Time_5=2,J22/FLU_HOURS_PER_MONTH,J22/FLU_MINUTES_PER_MONTH))</f>
        <v>4.5454545454545456E-2</v>
      </c>
      <c r="L22" s="162">
        <f ca="1">OFFSET(Cost_Ingredients!$N$73,DD_FLU_DETAIL_MICRO_A_5,0)*$K22</f>
        <v>0</v>
      </c>
      <c r="M22" s="162">
        <f ca="1">OFFSET(Cost_Ingredients!$O$73,DD_FLU_DETAIL_MICRO_A_5,0)*$K22</f>
        <v>0</v>
      </c>
      <c r="N22" s="179">
        <f ca="1">L22/Cost_Ingredients!$J$21</f>
        <v>0</v>
      </c>
      <c r="O22" s="179">
        <f ca="1">M22/Cost_Ingredients!$J$21</f>
        <v>0</v>
      </c>
      <c r="P22" s="151"/>
    </row>
    <row r="23" spans="4:16" s="23" customFormat="1" outlineLevel="1">
      <c r="D23" s="746">
        <v>1</v>
      </c>
      <c r="E23" s="746"/>
      <c r="F23" s="746"/>
      <c r="G23" s="749"/>
      <c r="H23" s="151" t="s">
        <v>353</v>
      </c>
      <c r="I23" s="31">
        <v>2</v>
      </c>
      <c r="J23" s="64">
        <v>10</v>
      </c>
      <c r="K23" s="135">
        <f>IF(DD_FLU_Detailed_Micro_Time_6=1,J23/FLU_DAYS_PER_MONTH,IF(DD_FLU_Detailed_Micro_Time_6=2,J23/FLU_HOURS_PER_MONTH,J23/FLU_MINUTES_PER_MONTH))</f>
        <v>5.6818181818181816E-2</v>
      </c>
      <c r="L23" s="162">
        <f ca="1">OFFSET(Cost_Ingredients!$N$73,DD_FLU_DETAIL_MICRO_A_6,0)*$K23</f>
        <v>0</v>
      </c>
      <c r="M23" s="162">
        <f ca="1">OFFSET(Cost_Ingredients!$O$73,DD_FLU_DETAIL_MICRO_A_6,0)*$K23</f>
        <v>0</v>
      </c>
      <c r="N23" s="179">
        <f ca="1">L23/Cost_Ingredients!$J$21</f>
        <v>0</v>
      </c>
      <c r="O23" s="179">
        <f ca="1">M23/Cost_Ingredients!$J$21</f>
        <v>0</v>
      </c>
      <c r="P23" s="151"/>
    </row>
    <row r="24" spans="4:16" s="23" customFormat="1" outlineLevel="1">
      <c r="D24" s="746">
        <v>1</v>
      </c>
      <c r="E24" s="746"/>
      <c r="F24" s="746"/>
      <c r="G24" s="749"/>
      <c r="H24" s="151"/>
      <c r="I24" s="31">
        <v>2</v>
      </c>
      <c r="J24" s="64">
        <v>0</v>
      </c>
      <c r="K24" s="135">
        <f>IF(DD_FLU_Detailed_Micro_Time_7=1,J24/FLU_DAYS_PER_MONTH,IF(DD_FLU_Detailed_Micro_Time_7=2,J24/FLU_HOURS_PER_MONTH,J24/FLU_MINUTES_PER_MONTH))</f>
        <v>0</v>
      </c>
      <c r="L24" s="162">
        <f ca="1">OFFSET(Cost_Ingredients!$N$73,DD_FLU_DETAIL_MICRO_A_7,0)*$K24</f>
        <v>0</v>
      </c>
      <c r="M24" s="162">
        <f ca="1">OFFSET(Cost_Ingredients!$O$73,DD_FLU_DETAIL_MICRO_A_7,0)*$K24</f>
        <v>0</v>
      </c>
      <c r="N24" s="179">
        <f ca="1">L24/Cost_Ingredients!$J$21</f>
        <v>0</v>
      </c>
      <c r="O24" s="179">
        <f ca="1">M24/Cost_Ingredients!$J$21</f>
        <v>0</v>
      </c>
      <c r="P24" s="151"/>
    </row>
    <row r="25" spans="4:16" s="23" customFormat="1" outlineLevel="1">
      <c r="D25" s="746">
        <v>1</v>
      </c>
      <c r="E25" s="746"/>
      <c r="F25" s="746"/>
      <c r="G25" s="749"/>
      <c r="H25" s="151"/>
      <c r="I25" s="31">
        <v>2</v>
      </c>
      <c r="J25" s="64">
        <v>0</v>
      </c>
      <c r="K25" s="135">
        <f>IF(DD_FLU_Detailed_Micro_Time_8=1,J25/FLU_DAYS_PER_MONTH,IF(DD_FLU_Detailed_Micro_Time_8=2,J25/FLU_HOURS_PER_MONTH,J25/FLU_MINUTES_PER_MONTH))</f>
        <v>0</v>
      </c>
      <c r="L25" s="162">
        <f ca="1">OFFSET(Cost_Ingredients!$N$73,DD_FLU_DETAIL_MICRO_A_8,0)*$K25</f>
        <v>0</v>
      </c>
      <c r="M25" s="162">
        <f ca="1">OFFSET(Cost_Ingredients!$O$73,DD_FLU_DETAIL_MICRO_A_8,0)*$K25</f>
        <v>0</v>
      </c>
      <c r="N25" s="179">
        <f ca="1">L25/Cost_Ingredients!$J$21</f>
        <v>0</v>
      </c>
      <c r="O25" s="179">
        <f ca="1">M25/Cost_Ingredients!$J$21</f>
        <v>0</v>
      </c>
      <c r="P25" s="151"/>
    </row>
    <row r="26" spans="4:16" s="23" customFormat="1" outlineLevel="1">
      <c r="D26" s="746">
        <v>1</v>
      </c>
      <c r="E26" s="746"/>
      <c r="F26" s="746"/>
      <c r="G26" s="749"/>
      <c r="H26" s="151"/>
      <c r="I26" s="31">
        <v>2</v>
      </c>
      <c r="J26" s="64">
        <v>0</v>
      </c>
      <c r="K26" s="135">
        <f>IF(DD_FLU_Detailed_Micro_Time_9=1,J26/FLU_DAYS_PER_MONTH,IF(DD_FLU_Detailed_Micro_Time_9=2,J26/FLU_HOURS_PER_MONTH,J26/FLU_MINUTES_PER_MONTH))</f>
        <v>0</v>
      </c>
      <c r="L26" s="162">
        <f ca="1">OFFSET(Cost_Ingredients!$N$73,DD_FLU_DETAIL_MICRO_A_9,0)*$K26</f>
        <v>0</v>
      </c>
      <c r="M26" s="162">
        <f ca="1">OFFSET(Cost_Ingredients!$O$73,DD_FLU_DETAIL_MICRO_A_9,0)*$K26</f>
        <v>0</v>
      </c>
      <c r="N26" s="179">
        <f ca="1">L26/Cost_Ingredients!$J$21</f>
        <v>0</v>
      </c>
      <c r="O26" s="179">
        <f ca="1">M26/Cost_Ingredients!$J$21</f>
        <v>0</v>
      </c>
      <c r="P26" s="151"/>
    </row>
    <row r="27" spans="4:16" s="23" customFormat="1" outlineLevel="1">
      <c r="D27" s="746">
        <v>1</v>
      </c>
      <c r="E27" s="746"/>
      <c r="F27" s="746"/>
      <c r="G27" s="749"/>
      <c r="H27" s="151"/>
      <c r="I27" s="31">
        <v>2</v>
      </c>
      <c r="J27" s="64">
        <v>0</v>
      </c>
      <c r="K27" s="135">
        <f>IF(DD_FLU_Detailed_Micro_Time_10=1,J27/FLU_DAYS_PER_MONTH,IF(DD_FLU_Detailed_Micro_Time_10=2,J27/FLU_HOURS_PER_MONTH,J27/FLU_MINUTES_PER_MONTH))</f>
        <v>0</v>
      </c>
      <c r="L27" s="162">
        <f ca="1">OFFSET(Cost_Ingredients!$N$73,DD_FLU_DETAIL_MICRO_A_10,0)*$K27</f>
        <v>0</v>
      </c>
      <c r="M27" s="162">
        <f ca="1">OFFSET(Cost_Ingredients!$O$73,DD_FLU_DETAIL_MICRO_A_10,0)*$K27</f>
        <v>0</v>
      </c>
      <c r="N27" s="179">
        <f ca="1">L27/Cost_Ingredients!$J$21</f>
        <v>0</v>
      </c>
      <c r="O27" s="179">
        <f ca="1">M27/Cost_Ingredients!$J$21</f>
        <v>0</v>
      </c>
      <c r="P27" s="151"/>
    </row>
    <row r="28" spans="4:16" s="23" customFormat="1" outlineLevel="1">
      <c r="D28" s="746">
        <v>1</v>
      </c>
      <c r="E28" s="746"/>
      <c r="F28" s="746"/>
      <c r="G28" s="749"/>
      <c r="H28" s="151"/>
      <c r="I28" s="31">
        <v>2</v>
      </c>
      <c r="J28" s="64">
        <v>0</v>
      </c>
      <c r="K28" s="135">
        <f>IF(DD_FLU_Detailed_Micro_Time_11=1,J28/FLU_DAYS_PER_MONTH,IF(DD_FLU_Detailed_Micro_Time_11=2,J28/FLU_HOURS_PER_MONTH,J28/FLU_MINUTES_PER_MONTH))</f>
        <v>0</v>
      </c>
      <c r="L28" s="162">
        <f ca="1">OFFSET(Cost_Ingredients!$N$73,DD_FLU_DETAIL_MICRO_A_11,0)*$K28</f>
        <v>0</v>
      </c>
      <c r="M28" s="162">
        <f ca="1">OFFSET(Cost_Ingredients!$O$73,DD_FLU_DETAIL_MICRO_A_11,0)*$K28</f>
        <v>0</v>
      </c>
      <c r="N28" s="179">
        <f ca="1">L28/Cost_Ingredients!$J$21</f>
        <v>0</v>
      </c>
      <c r="O28" s="179">
        <f ca="1">M28/Cost_Ingredients!$J$21</f>
        <v>0</v>
      </c>
      <c r="P28" s="151"/>
    </row>
    <row r="29" spans="4:16" s="23" customFormat="1" outlineLevel="1">
      <c r="D29" s="746">
        <v>1</v>
      </c>
      <c r="E29" s="746"/>
      <c r="F29" s="746"/>
      <c r="G29" s="749"/>
      <c r="H29" s="151"/>
      <c r="I29" s="31">
        <v>2</v>
      </c>
      <c r="J29" s="64">
        <v>0</v>
      </c>
      <c r="K29" s="135">
        <f>IF(DD_FLU_Detailed_Micro_Time_12=1,J29/FLU_DAYS_PER_MONTH,IF(DD_FLU_Detailed_Micro_Time_12=2,J29/FLU_HOURS_PER_MONTH,J29/FLU_MINUTES_PER_MONTH))</f>
        <v>0</v>
      </c>
      <c r="L29" s="162">
        <f ca="1">OFFSET(Cost_Ingredients!$N$73,DD_FLU_DETAIL_MICRO_A_12,0)*$K29</f>
        <v>0</v>
      </c>
      <c r="M29" s="162">
        <f ca="1">OFFSET(Cost_Ingredients!$O$73,DD_FLU_DETAIL_MICRO_A_12,0)*$K29</f>
        <v>0</v>
      </c>
      <c r="N29" s="179">
        <f ca="1">L29/Cost_Ingredients!$J$21</f>
        <v>0</v>
      </c>
      <c r="O29" s="179">
        <f ca="1">M29/Cost_Ingredients!$J$21</f>
        <v>0</v>
      </c>
      <c r="P29" s="151"/>
    </row>
    <row r="30" spans="4:16" s="23" customFormat="1" outlineLevel="1">
      <c r="D30" s="746">
        <v>1</v>
      </c>
      <c r="E30" s="746"/>
      <c r="F30" s="746"/>
      <c r="G30" s="749"/>
      <c r="H30" s="151"/>
      <c r="I30" s="31">
        <v>2</v>
      </c>
      <c r="J30" s="64">
        <v>0</v>
      </c>
      <c r="K30" s="135">
        <f>IF(DD_FLU_Detailed_Micro_Time_13=1,J30/FLU_DAYS_PER_MONTH,IF(DD_FLU_Detailed_Micro_Time_13=2,J30/FLU_HOURS_PER_MONTH,J30/FLU_MINUTES_PER_MONTH))</f>
        <v>0</v>
      </c>
      <c r="L30" s="162">
        <f ca="1">OFFSET(Cost_Ingredients!$N$73,DD_FLU_DETAIL_MICRO_A_13,0)*$K30</f>
        <v>0</v>
      </c>
      <c r="M30" s="162">
        <f ca="1">OFFSET(Cost_Ingredients!$O$73,DD_FLU_DETAIL_MICRO_A_13,0)*$K30</f>
        <v>0</v>
      </c>
      <c r="N30" s="179">
        <f ca="1">L30/Cost_Ingredients!$J$21</f>
        <v>0</v>
      </c>
      <c r="O30" s="179">
        <f ca="1">M30/Cost_Ingredients!$J$21</f>
        <v>0</v>
      </c>
      <c r="P30" s="151"/>
    </row>
    <row r="31" spans="4:16" s="23" customFormat="1" outlineLevel="1">
      <c r="D31" s="746">
        <v>1</v>
      </c>
      <c r="E31" s="746"/>
      <c r="F31" s="746"/>
      <c r="G31" s="749"/>
      <c r="H31" s="151"/>
      <c r="I31" s="31">
        <v>2</v>
      </c>
      <c r="J31" s="64">
        <v>0</v>
      </c>
      <c r="K31" s="135">
        <f>IF(DD_FLU_Detailed_Micro_Time_14=1,J31/FLU_DAYS_PER_MONTH,IF(DD_FLU_Detailed_Micro_Time_14=2,J31/FLU_HOURS_PER_MONTH,J31/FLU_MINUTES_PER_MONTH))</f>
        <v>0</v>
      </c>
      <c r="L31" s="162">
        <f ca="1">OFFSET(Cost_Ingredients!$N$73,DD_FLU_DETAIL_MICRO_A_14,0)*$K31</f>
        <v>0</v>
      </c>
      <c r="M31" s="162">
        <f ca="1">OFFSET(Cost_Ingredients!$O$73,DD_FLU_DETAIL_MICRO_A_14,0)*$K31</f>
        <v>0</v>
      </c>
      <c r="N31" s="179">
        <f ca="1">L31/Cost_Ingredients!$J$21</f>
        <v>0</v>
      </c>
      <c r="O31" s="179">
        <f ca="1">M31/Cost_Ingredients!$J$21</f>
        <v>0</v>
      </c>
      <c r="P31" s="151"/>
    </row>
    <row r="32" spans="4:16" s="23" customFormat="1" outlineLevel="1">
      <c r="D32" s="746">
        <v>1</v>
      </c>
      <c r="E32" s="746"/>
      <c r="F32" s="746"/>
      <c r="G32" s="749"/>
      <c r="H32" s="172"/>
      <c r="I32" s="31">
        <v>1</v>
      </c>
      <c r="J32" s="173">
        <v>0</v>
      </c>
      <c r="K32" s="135">
        <f>IF(DD_FLU_Detailed_Micro_Time_15=1,J32/FLU_DAYS_PER_MONTH,IF(DD_FLU_Detailed_Micro_Time_15=2,J32/FLU_HOURS_PER_MONTH,J32/FLU_MINUTES_PER_MONTH))</f>
        <v>0</v>
      </c>
      <c r="L32" s="162">
        <f ca="1">OFFSET(Cost_Ingredients!$N$73,DD_FLU_DETAIL_MICRO_A_15,0)*$K32</f>
        <v>0</v>
      </c>
      <c r="M32" s="162">
        <f ca="1">OFFSET(Cost_Ingredients!$O$73,DD_FLU_DETAIL_MICRO_A_15,0)*$K32</f>
        <v>0</v>
      </c>
      <c r="N32" s="179">
        <f ca="1">L32/Cost_Ingredients!$J$21</f>
        <v>0</v>
      </c>
      <c r="O32" s="179">
        <f ca="1">M32/Cost_Ingredients!$J$21</f>
        <v>0</v>
      </c>
      <c r="P32" s="172"/>
    </row>
    <row r="33" spans="3:16" s="23" customFormat="1">
      <c r="D33" s="12"/>
      <c r="E33" s="12"/>
      <c r="F33" s="12"/>
      <c r="G33" s="12"/>
      <c r="H33" s="156"/>
      <c r="I33" s="12"/>
      <c r="J33" s="69"/>
      <c r="K33" s="18"/>
      <c r="L33" s="255">
        <f ca="1">SUM(L18:L32)</f>
        <v>0</v>
      </c>
      <c r="M33" s="255">
        <f ca="1">SUM(M18:M32)</f>
        <v>0</v>
      </c>
      <c r="N33" s="258">
        <f ca="1">SUM(N18:N32)</f>
        <v>0</v>
      </c>
      <c r="O33" s="258">
        <f ca="1">SUM(O18:O32)</f>
        <v>0</v>
      </c>
      <c r="P33" s="156"/>
    </row>
    <row r="34" spans="3:16" s="23" customFormat="1"/>
    <row r="35" spans="3:16" s="23" customFormat="1">
      <c r="C35" s="153" t="str">
        <f>FLU_LU!$D$279</f>
        <v>Allowances</v>
      </c>
    </row>
    <row r="36" spans="3:16" s="23" customFormat="1" ht="28.8" outlineLevel="1">
      <c r="D36" s="750" t="s">
        <v>100</v>
      </c>
      <c r="E36" s="750"/>
      <c r="F36" s="750"/>
      <c r="G36" s="750"/>
      <c r="H36" s="730" t="s">
        <v>274</v>
      </c>
      <c r="I36" s="730"/>
      <c r="J36" s="152" t="s">
        <v>67</v>
      </c>
      <c r="L36" s="28" t="str">
        <f>"Financial Price ("&amp;FLU_LU!$D$79&amp;")"</f>
        <v>Financial Price (GOZ)</v>
      </c>
      <c r="M36" s="28" t="str">
        <f>"Economic Price ("&amp;FLU_LU!$D$79&amp;")"</f>
        <v>Economic Price (GOZ)</v>
      </c>
      <c r="N36" s="28" t="str">
        <f>"Financial Price ("&amp;FLU_LU!$D$78&amp;")"</f>
        <v>Financial Price (USD)</v>
      </c>
      <c r="O36" s="28" t="str">
        <f>"Economic Price ("&amp;FLU_LU!$D$78&amp;")"</f>
        <v>Economic Price (USD)</v>
      </c>
      <c r="P36" s="152" t="s">
        <v>68</v>
      </c>
    </row>
    <row r="37" spans="3:16" s="23" customFormat="1" outlineLevel="1">
      <c r="D37" s="751">
        <v>2</v>
      </c>
      <c r="E37" s="752"/>
      <c r="F37" s="752"/>
      <c r="G37" s="753"/>
      <c r="H37" s="667"/>
      <c r="I37" s="667"/>
      <c r="J37" s="64">
        <v>4</v>
      </c>
      <c r="L37" s="162">
        <f ca="1">OFFSET(Cost_Ingredients!$N$103,$D37,0)*$J37</f>
        <v>22000</v>
      </c>
      <c r="M37" s="162">
        <f ca="1">OFFSET(Cost_Ingredients!$O$103,$D37,0)*$J37</f>
        <v>22000</v>
      </c>
      <c r="N37" s="163">
        <f ca="1">L37/Cost_Ingredients!$J$21</f>
        <v>146.66666666666666</v>
      </c>
      <c r="O37" s="163">
        <f ca="1">M37/Cost_Ingredients!$J$21</f>
        <v>146.66666666666666</v>
      </c>
      <c r="P37" s="151"/>
    </row>
    <row r="38" spans="3:16" s="23" customFormat="1" outlineLevel="1">
      <c r="D38" s="746">
        <v>1</v>
      </c>
      <c r="E38" s="747"/>
      <c r="F38" s="747"/>
      <c r="G38" s="748"/>
      <c r="H38" s="667"/>
      <c r="I38" s="667"/>
      <c r="J38" s="64"/>
      <c r="L38" s="162">
        <f ca="1">OFFSET(Cost_Ingredients!$N$103,$D38,0)*$J38</f>
        <v>0</v>
      </c>
      <c r="M38" s="162">
        <f ca="1">OFFSET(Cost_Ingredients!$O$103,$D38,0)*$J38</f>
        <v>0</v>
      </c>
      <c r="N38" s="163">
        <f ca="1">L38/Cost_Ingredients!$J$21</f>
        <v>0</v>
      </c>
      <c r="O38" s="163">
        <f ca="1">M38/Cost_Ingredients!$J$21</f>
        <v>0</v>
      </c>
      <c r="P38" s="151"/>
    </row>
    <row r="39" spans="3:16" s="23" customFormat="1" outlineLevel="1">
      <c r="D39" s="746">
        <v>1</v>
      </c>
      <c r="E39" s="747"/>
      <c r="F39" s="747"/>
      <c r="G39" s="748"/>
      <c r="H39" s="667"/>
      <c r="I39" s="667"/>
      <c r="J39" s="64"/>
      <c r="L39" s="162">
        <f ca="1">OFFSET(Cost_Ingredients!$N$103,$D39,0)*$J39</f>
        <v>0</v>
      </c>
      <c r="M39" s="162">
        <f ca="1">OFFSET(Cost_Ingredients!$O$103,$D39,0)*$J39</f>
        <v>0</v>
      </c>
      <c r="N39" s="163">
        <f ca="1">L39/Cost_Ingredients!$J$21</f>
        <v>0</v>
      </c>
      <c r="O39" s="163">
        <f ca="1">M39/Cost_Ingredients!$J$21</f>
        <v>0</v>
      </c>
      <c r="P39" s="151"/>
    </row>
    <row r="40" spans="3:16" s="23" customFormat="1" outlineLevel="1">
      <c r="D40" s="746">
        <v>1</v>
      </c>
      <c r="E40" s="747"/>
      <c r="F40" s="747"/>
      <c r="G40" s="748"/>
      <c r="H40" s="667"/>
      <c r="I40" s="667"/>
      <c r="J40" s="64"/>
      <c r="L40" s="162">
        <f ca="1">OFFSET(Cost_Ingredients!$N$103,$D40,0)*$J40</f>
        <v>0</v>
      </c>
      <c r="M40" s="162">
        <f ca="1">OFFSET(Cost_Ingredients!$O$103,$D40,0)*$J40</f>
        <v>0</v>
      </c>
      <c r="N40" s="163">
        <f ca="1">L40/Cost_Ingredients!$J$21</f>
        <v>0</v>
      </c>
      <c r="O40" s="163">
        <f ca="1">M40/Cost_Ingredients!$J$21</f>
        <v>0</v>
      </c>
      <c r="P40" s="151"/>
    </row>
    <row r="41" spans="3:16" s="23" customFormat="1" outlineLevel="1">
      <c r="D41" s="746">
        <v>1</v>
      </c>
      <c r="E41" s="747"/>
      <c r="F41" s="747"/>
      <c r="G41" s="748"/>
      <c r="H41" s="667"/>
      <c r="I41" s="667"/>
      <c r="J41" s="64"/>
      <c r="L41" s="162">
        <f ca="1">OFFSET(Cost_Ingredients!$N$103,$D41,0)*$J41</f>
        <v>0</v>
      </c>
      <c r="M41" s="162">
        <f ca="1">OFFSET(Cost_Ingredients!$O$103,$D41,0)*$J41</f>
        <v>0</v>
      </c>
      <c r="N41" s="163">
        <f ca="1">L41/Cost_Ingredients!$J$21</f>
        <v>0</v>
      </c>
      <c r="O41" s="163">
        <f ca="1">M41/Cost_Ingredients!$J$21</f>
        <v>0</v>
      </c>
      <c r="P41" s="151"/>
    </row>
    <row r="42" spans="3:16" s="23" customFormat="1" outlineLevel="1">
      <c r="D42" s="746">
        <v>1</v>
      </c>
      <c r="E42" s="747"/>
      <c r="F42" s="747"/>
      <c r="G42" s="748"/>
      <c r="H42" s="667"/>
      <c r="I42" s="667"/>
      <c r="J42" s="64"/>
      <c r="L42" s="162">
        <f ca="1">OFFSET(Cost_Ingredients!$N$103,$D42,0)*$J42</f>
        <v>0</v>
      </c>
      <c r="M42" s="162">
        <f ca="1">OFFSET(Cost_Ingredients!$O$103,$D42,0)*$J42</f>
        <v>0</v>
      </c>
      <c r="N42" s="163">
        <f ca="1">L42/Cost_Ingredients!$J$21</f>
        <v>0</v>
      </c>
      <c r="O42" s="163">
        <f ca="1">M42/Cost_Ingredients!$J$21</f>
        <v>0</v>
      </c>
      <c r="P42" s="151"/>
    </row>
    <row r="43" spans="3:16" s="23" customFormat="1" outlineLevel="1">
      <c r="D43" s="746">
        <v>1</v>
      </c>
      <c r="E43" s="747"/>
      <c r="F43" s="747"/>
      <c r="G43" s="748"/>
      <c r="H43" s="667"/>
      <c r="I43" s="667"/>
      <c r="J43" s="64"/>
      <c r="L43" s="162">
        <f ca="1">OFFSET(Cost_Ingredients!$N$103,$D43,0)*$J43</f>
        <v>0</v>
      </c>
      <c r="M43" s="162">
        <f ca="1">OFFSET(Cost_Ingredients!$O$103,$D43,0)*$J43</f>
        <v>0</v>
      </c>
      <c r="N43" s="163">
        <f ca="1">L43/Cost_Ingredients!$J$21</f>
        <v>0</v>
      </c>
      <c r="O43" s="163">
        <f ca="1">M43/Cost_Ingredients!$J$21</f>
        <v>0</v>
      </c>
      <c r="P43" s="151"/>
    </row>
    <row r="44" spans="3:16" s="23" customFormat="1" outlineLevel="1">
      <c r="D44" s="746">
        <v>1</v>
      </c>
      <c r="E44" s="747"/>
      <c r="F44" s="747"/>
      <c r="G44" s="748"/>
      <c r="H44" s="667"/>
      <c r="I44" s="667"/>
      <c r="J44" s="64"/>
      <c r="L44" s="162">
        <f ca="1">OFFSET(Cost_Ingredients!$N$103,$D44,0)*$J44</f>
        <v>0</v>
      </c>
      <c r="M44" s="162">
        <f ca="1">OFFSET(Cost_Ingredients!$O$103,$D44,0)*$J44</f>
        <v>0</v>
      </c>
      <c r="N44" s="163">
        <f ca="1">L44/Cost_Ingredients!$J$21</f>
        <v>0</v>
      </c>
      <c r="O44" s="163">
        <f ca="1">M44/Cost_Ingredients!$J$21</f>
        <v>0</v>
      </c>
      <c r="P44" s="151"/>
    </row>
    <row r="45" spans="3:16" s="23" customFormat="1" outlineLevel="1">
      <c r="D45" s="746">
        <v>1</v>
      </c>
      <c r="E45" s="747"/>
      <c r="F45" s="747"/>
      <c r="G45" s="748"/>
      <c r="H45" s="667"/>
      <c r="I45" s="667"/>
      <c r="J45" s="64"/>
      <c r="L45" s="162">
        <f ca="1">OFFSET(Cost_Ingredients!$N$103,$D45,0)*$J45</f>
        <v>0</v>
      </c>
      <c r="M45" s="162">
        <f ca="1">OFFSET(Cost_Ingredients!$O$103,$D45,0)*$J45</f>
        <v>0</v>
      </c>
      <c r="N45" s="163">
        <f ca="1">L45/Cost_Ingredients!$J$21</f>
        <v>0</v>
      </c>
      <c r="O45" s="163">
        <f ca="1">M45/Cost_Ingredients!$J$21</f>
        <v>0</v>
      </c>
      <c r="P45" s="151"/>
    </row>
    <row r="46" spans="3:16" s="23" customFormat="1" outlineLevel="1">
      <c r="D46" s="746">
        <v>1</v>
      </c>
      <c r="E46" s="747"/>
      <c r="F46" s="747"/>
      <c r="G46" s="748"/>
      <c r="H46" s="667"/>
      <c r="I46" s="667"/>
      <c r="J46" s="64"/>
      <c r="L46" s="162">
        <f ca="1">OFFSET(Cost_Ingredients!$N$103,$D46,0)*$J46</f>
        <v>0</v>
      </c>
      <c r="M46" s="162">
        <f ca="1">OFFSET(Cost_Ingredients!$O$103,$D46,0)*$J46</f>
        <v>0</v>
      </c>
      <c r="N46" s="163">
        <f ca="1">L46/Cost_Ingredients!$J$21</f>
        <v>0</v>
      </c>
      <c r="O46" s="163">
        <f ca="1">M46/Cost_Ingredients!$J$21</f>
        <v>0</v>
      </c>
      <c r="P46" s="151"/>
    </row>
    <row r="47" spans="3:16" s="23" customFormat="1" outlineLevel="1">
      <c r="D47" s="746">
        <v>1</v>
      </c>
      <c r="E47" s="747"/>
      <c r="F47" s="747"/>
      <c r="G47" s="748"/>
      <c r="H47" s="667"/>
      <c r="I47" s="667"/>
      <c r="J47" s="64"/>
      <c r="L47" s="162">
        <f ca="1">OFFSET(Cost_Ingredients!$N$103,$D47,0)*$J47</f>
        <v>0</v>
      </c>
      <c r="M47" s="162">
        <f ca="1">OFFSET(Cost_Ingredients!$O$103,$D47,0)*$J47</f>
        <v>0</v>
      </c>
      <c r="N47" s="163">
        <f ca="1">L47/Cost_Ingredients!$J$21</f>
        <v>0</v>
      </c>
      <c r="O47" s="163">
        <f ca="1">M47/Cost_Ingredients!$J$21</f>
        <v>0</v>
      </c>
      <c r="P47" s="151"/>
    </row>
    <row r="48" spans="3:16" s="23" customFormat="1" outlineLevel="1">
      <c r="D48" s="746">
        <v>1</v>
      </c>
      <c r="E48" s="747"/>
      <c r="F48" s="747"/>
      <c r="G48" s="748"/>
      <c r="H48" s="667"/>
      <c r="I48" s="667"/>
      <c r="J48" s="64"/>
      <c r="L48" s="162">
        <f ca="1">OFFSET(Cost_Ingredients!$N$103,$D48,0)*$J48</f>
        <v>0</v>
      </c>
      <c r="M48" s="162">
        <f ca="1">OFFSET(Cost_Ingredients!$O$103,$D48,0)*$J48</f>
        <v>0</v>
      </c>
      <c r="N48" s="163">
        <f ca="1">L48/Cost_Ingredients!$J$21</f>
        <v>0</v>
      </c>
      <c r="O48" s="163">
        <f ca="1">M48/Cost_Ingredients!$J$21</f>
        <v>0</v>
      </c>
      <c r="P48" s="151"/>
    </row>
    <row r="49" spans="3:16" s="23" customFormat="1" outlineLevel="1">
      <c r="D49" s="746">
        <v>1</v>
      </c>
      <c r="E49" s="747"/>
      <c r="F49" s="747"/>
      <c r="G49" s="748"/>
      <c r="H49" s="667"/>
      <c r="I49" s="667"/>
      <c r="J49" s="64"/>
      <c r="L49" s="162">
        <f ca="1">OFFSET(Cost_Ingredients!$N$103,$D49,0)*$J49</f>
        <v>0</v>
      </c>
      <c r="M49" s="162">
        <f ca="1">OFFSET(Cost_Ingredients!$O$103,$D49,0)*$J49</f>
        <v>0</v>
      </c>
      <c r="N49" s="163">
        <f ca="1">L49/Cost_Ingredients!$J$21</f>
        <v>0</v>
      </c>
      <c r="O49" s="163">
        <f ca="1">M49/Cost_Ingredients!$J$21</f>
        <v>0</v>
      </c>
      <c r="P49" s="151"/>
    </row>
    <row r="50" spans="3:16" s="23" customFormat="1" outlineLevel="1">
      <c r="D50" s="746">
        <v>1</v>
      </c>
      <c r="E50" s="747"/>
      <c r="F50" s="747"/>
      <c r="G50" s="748"/>
      <c r="H50" s="667"/>
      <c r="I50" s="667"/>
      <c r="J50" s="64"/>
      <c r="L50" s="162">
        <f ca="1">OFFSET(Cost_Ingredients!$N$103,$D50,0)*$J50</f>
        <v>0</v>
      </c>
      <c r="M50" s="162">
        <f ca="1">OFFSET(Cost_Ingredients!$O$103,$D50,0)*$J50</f>
        <v>0</v>
      </c>
      <c r="N50" s="163">
        <f ca="1">L50/Cost_Ingredients!$J$21</f>
        <v>0</v>
      </c>
      <c r="O50" s="163">
        <f ca="1">M50/Cost_Ingredients!$J$21</f>
        <v>0</v>
      </c>
      <c r="P50" s="151"/>
    </row>
    <row r="51" spans="3:16" s="23" customFormat="1" outlineLevel="1">
      <c r="D51" s="746">
        <v>1</v>
      </c>
      <c r="E51" s="747"/>
      <c r="F51" s="747"/>
      <c r="G51" s="748"/>
      <c r="H51" s="745"/>
      <c r="I51" s="745"/>
      <c r="J51" s="173">
        <v>0</v>
      </c>
      <c r="L51" s="162">
        <f ca="1">OFFSET(Cost_Ingredients!$N$103,$D51,0)*$J51</f>
        <v>0</v>
      </c>
      <c r="M51" s="162">
        <f ca="1">OFFSET(Cost_Ingredients!$O$103,$D51,0)*$J51</f>
        <v>0</v>
      </c>
      <c r="N51" s="163">
        <f ca="1">L51/Cost_Ingredients!$J$21</f>
        <v>0</v>
      </c>
      <c r="O51" s="163">
        <f ca="1">M51/Cost_Ingredients!$J$21</f>
        <v>0</v>
      </c>
      <c r="P51" s="172"/>
    </row>
    <row r="52" spans="3:16" s="23" customFormat="1">
      <c r="D52" s="754" t="str">
        <f>"Subtotal - "&amp;C35</f>
        <v>Subtotal - Allowances</v>
      </c>
      <c r="E52" s="755"/>
      <c r="F52" s="755"/>
      <c r="G52" s="755"/>
      <c r="H52" s="156"/>
      <c r="I52" s="156"/>
      <c r="J52" s="69"/>
      <c r="L52" s="255">
        <f ca="1">SUM(L37:L51)</f>
        <v>22000</v>
      </c>
      <c r="M52" s="255">
        <f ca="1">SUM(M37:M51)</f>
        <v>22000</v>
      </c>
      <c r="N52" s="258">
        <f ca="1">SUM(N37:N51)</f>
        <v>146.66666666666666</v>
      </c>
      <c r="O52" s="258">
        <f ca="1">SUM(O37:O51)</f>
        <v>146.66666666666666</v>
      </c>
      <c r="P52" s="156"/>
    </row>
    <row r="53" spans="3:16" s="23" customFormat="1"/>
    <row r="54" spans="3:16" s="23" customFormat="1">
      <c r="C54" s="153" t="str">
        <f>FLU_LU!$D$280</f>
        <v>Supplies &amp; Materials</v>
      </c>
    </row>
    <row r="55" spans="3:16" s="23" customFormat="1" ht="28.8" outlineLevel="1">
      <c r="D55" s="750" t="s">
        <v>100</v>
      </c>
      <c r="E55" s="750"/>
      <c r="F55" s="750"/>
      <c r="G55" s="750"/>
      <c r="H55" s="142" t="s">
        <v>274</v>
      </c>
      <c r="I55" s="72" t="s">
        <v>275</v>
      </c>
      <c r="J55" s="152" t="s">
        <v>67</v>
      </c>
      <c r="L55" s="28" t="str">
        <f>"Financial Price ("&amp;FLU_LU!$D$79&amp;")"</f>
        <v>Financial Price (GOZ)</v>
      </c>
      <c r="M55" s="28" t="str">
        <f>"Economic Price ("&amp;FLU_LU!$D$79&amp;")"</f>
        <v>Economic Price (GOZ)</v>
      </c>
      <c r="N55" s="28" t="str">
        <f>"Financial Price ("&amp;FLU_LU!$D$78&amp;")"</f>
        <v>Financial Price (USD)</v>
      </c>
      <c r="O55" s="28" t="str">
        <f>"Economic Price ("&amp;FLU_LU!$D$78&amp;")"</f>
        <v>Economic Price (USD)</v>
      </c>
      <c r="P55" s="152" t="s">
        <v>68</v>
      </c>
    </row>
    <row r="56" spans="3:16" s="23" customFormat="1" outlineLevel="1">
      <c r="D56" s="751">
        <v>3</v>
      </c>
      <c r="E56" s="752"/>
      <c r="F56" s="752"/>
      <c r="G56" s="753"/>
      <c r="H56" s="151"/>
      <c r="I56" s="159" t="str">
        <f ca="1">OFFSET(Cost_Ingredients!$M$117,$D56,0)</f>
        <v>pz</v>
      </c>
      <c r="J56" s="64">
        <v>1</v>
      </c>
      <c r="L56" s="162">
        <f ca="1">OFFSET(Cost_Ingredients!$N$117,$D56,0)*$J56</f>
        <v>1</v>
      </c>
      <c r="M56" s="162">
        <f ca="1">OFFSET(Cost_Ingredients!$O$117,$D56,0)*$J56</f>
        <v>6</v>
      </c>
      <c r="N56" s="163">
        <f ca="1">L56/Cost_Ingredients!$J$21</f>
        <v>6.6666666666666671E-3</v>
      </c>
      <c r="O56" s="163">
        <f ca="1">M56/Cost_Ingredients!$J$21</f>
        <v>0.04</v>
      </c>
      <c r="P56" s="151"/>
    </row>
    <row r="57" spans="3:16" s="23" customFormat="1" outlineLevel="1">
      <c r="D57" s="746">
        <v>1</v>
      </c>
      <c r="E57" s="747"/>
      <c r="F57" s="747"/>
      <c r="G57" s="748"/>
      <c r="H57" s="151"/>
      <c r="I57" s="159">
        <f ca="1">OFFSET(Cost_Ingredients!$M$117,$D57,0)</f>
        <v>0</v>
      </c>
      <c r="J57" s="64"/>
      <c r="L57" s="162">
        <f ca="1">OFFSET(Cost_Ingredients!$N$117,$D57,0)*$J57</f>
        <v>0</v>
      </c>
      <c r="M57" s="162">
        <f ca="1">OFFSET(Cost_Ingredients!$O$117,$D57,0)*$J57</f>
        <v>0</v>
      </c>
      <c r="N57" s="163">
        <f ca="1">L57/Cost_Ingredients!$J$21</f>
        <v>0</v>
      </c>
      <c r="O57" s="163">
        <f ca="1">M57/Cost_Ingredients!$J$21</f>
        <v>0</v>
      </c>
      <c r="P57" s="151"/>
    </row>
    <row r="58" spans="3:16" s="23" customFormat="1" outlineLevel="1">
      <c r="D58" s="746">
        <v>1</v>
      </c>
      <c r="E58" s="747"/>
      <c r="F58" s="747"/>
      <c r="G58" s="748"/>
      <c r="H58" s="151"/>
      <c r="I58" s="159">
        <f ca="1">OFFSET(Cost_Ingredients!$M$117,$D58,0)</f>
        <v>0</v>
      </c>
      <c r="J58" s="64"/>
      <c r="L58" s="162">
        <f ca="1">OFFSET(Cost_Ingredients!$N$117,$D58,0)*$J58</f>
        <v>0</v>
      </c>
      <c r="M58" s="162">
        <f ca="1">OFFSET(Cost_Ingredients!$O$117,$D58,0)*$J58</f>
        <v>0</v>
      </c>
      <c r="N58" s="163">
        <f ca="1">L58/Cost_Ingredients!$J$21</f>
        <v>0</v>
      </c>
      <c r="O58" s="163">
        <f ca="1">M58/Cost_Ingredients!$J$21</f>
        <v>0</v>
      </c>
      <c r="P58" s="151"/>
    </row>
    <row r="59" spans="3:16" s="23" customFormat="1" outlineLevel="1">
      <c r="D59" s="746">
        <v>1</v>
      </c>
      <c r="E59" s="747"/>
      <c r="F59" s="747"/>
      <c r="G59" s="748"/>
      <c r="H59" s="151"/>
      <c r="I59" s="159">
        <f ca="1">OFFSET(Cost_Ingredients!$M$117,$D59,0)</f>
        <v>0</v>
      </c>
      <c r="J59" s="64"/>
      <c r="L59" s="162">
        <f ca="1">OFFSET(Cost_Ingredients!$N$117,$D59,0)*$J59</f>
        <v>0</v>
      </c>
      <c r="M59" s="162">
        <f ca="1">OFFSET(Cost_Ingredients!$O$117,$D59,0)*$J59</f>
        <v>0</v>
      </c>
      <c r="N59" s="163">
        <f ca="1">L59/Cost_Ingredients!$J$21</f>
        <v>0</v>
      </c>
      <c r="O59" s="163">
        <f ca="1">M59/Cost_Ingredients!$J$21</f>
        <v>0</v>
      </c>
      <c r="P59" s="151"/>
    </row>
    <row r="60" spans="3:16" s="23" customFormat="1" outlineLevel="1">
      <c r="D60" s="746">
        <v>1</v>
      </c>
      <c r="E60" s="747"/>
      <c r="F60" s="747"/>
      <c r="G60" s="748"/>
      <c r="H60" s="151"/>
      <c r="I60" s="159">
        <f ca="1">OFFSET(Cost_Ingredients!$M$117,$D60,0)</f>
        <v>0</v>
      </c>
      <c r="J60" s="64"/>
      <c r="L60" s="162">
        <f ca="1">OFFSET(Cost_Ingredients!$N$117,$D60,0)*$J60</f>
        <v>0</v>
      </c>
      <c r="M60" s="162">
        <f ca="1">OFFSET(Cost_Ingredients!$O$117,$D60,0)*$J60</f>
        <v>0</v>
      </c>
      <c r="N60" s="163">
        <f ca="1">L60/Cost_Ingredients!$J$21</f>
        <v>0</v>
      </c>
      <c r="O60" s="163">
        <f ca="1">M60/Cost_Ingredients!$J$21</f>
        <v>0</v>
      </c>
      <c r="P60" s="151"/>
    </row>
    <row r="61" spans="3:16" s="23" customFormat="1" outlineLevel="1">
      <c r="D61" s="746">
        <v>1</v>
      </c>
      <c r="E61" s="747"/>
      <c r="F61" s="747"/>
      <c r="G61" s="748"/>
      <c r="H61" s="151"/>
      <c r="I61" s="159">
        <f ca="1">OFFSET(Cost_Ingredients!$M$117,$D61,0)</f>
        <v>0</v>
      </c>
      <c r="J61" s="64">
        <v>0</v>
      </c>
      <c r="L61" s="162">
        <f ca="1">OFFSET(Cost_Ingredients!$N$117,$D61,0)*$J61</f>
        <v>0</v>
      </c>
      <c r="M61" s="162">
        <f ca="1">OFFSET(Cost_Ingredients!$O$117,$D61,0)*$J61</f>
        <v>0</v>
      </c>
      <c r="N61" s="163">
        <f ca="1">L61/Cost_Ingredients!$J$21</f>
        <v>0</v>
      </c>
      <c r="O61" s="163">
        <f ca="1">M61/Cost_Ingredients!$J$21</f>
        <v>0</v>
      </c>
      <c r="P61" s="151"/>
    </row>
    <row r="62" spans="3:16" s="23" customFormat="1" outlineLevel="1">
      <c r="D62" s="746">
        <v>1</v>
      </c>
      <c r="E62" s="747"/>
      <c r="F62" s="747"/>
      <c r="G62" s="748"/>
      <c r="H62" s="151"/>
      <c r="I62" s="159">
        <f ca="1">OFFSET(Cost_Ingredients!$M$117,$D62,0)</f>
        <v>0</v>
      </c>
      <c r="J62" s="64">
        <v>0</v>
      </c>
      <c r="L62" s="162">
        <f ca="1">OFFSET(Cost_Ingredients!$N$117,$D62,0)*$J62</f>
        <v>0</v>
      </c>
      <c r="M62" s="162">
        <f ca="1">OFFSET(Cost_Ingredients!$O$117,$D62,0)*$J62</f>
        <v>0</v>
      </c>
      <c r="N62" s="163">
        <f ca="1">L62/Cost_Ingredients!$J$21</f>
        <v>0</v>
      </c>
      <c r="O62" s="163">
        <f ca="1">M62/Cost_Ingredients!$J$21</f>
        <v>0</v>
      </c>
      <c r="P62" s="151"/>
    </row>
    <row r="63" spans="3:16" s="23" customFormat="1" outlineLevel="1">
      <c r="D63" s="746">
        <v>1</v>
      </c>
      <c r="E63" s="747"/>
      <c r="F63" s="747"/>
      <c r="G63" s="748"/>
      <c r="H63" s="151"/>
      <c r="I63" s="159">
        <f ca="1">OFFSET(Cost_Ingredients!$M$117,$D63,0)</f>
        <v>0</v>
      </c>
      <c r="J63" s="64">
        <v>0</v>
      </c>
      <c r="L63" s="162">
        <f ca="1">OFFSET(Cost_Ingredients!$N$117,$D63,0)*$J63</f>
        <v>0</v>
      </c>
      <c r="M63" s="162">
        <f ca="1">OFFSET(Cost_Ingredients!$O$117,$D63,0)*$J63</f>
        <v>0</v>
      </c>
      <c r="N63" s="163">
        <f ca="1">L63/Cost_Ingredients!$J$21</f>
        <v>0</v>
      </c>
      <c r="O63" s="163">
        <f ca="1">M63/Cost_Ingredients!$J$21</f>
        <v>0</v>
      </c>
      <c r="P63" s="151"/>
    </row>
    <row r="64" spans="3:16" s="23" customFormat="1" outlineLevel="1">
      <c r="D64" s="746">
        <v>1</v>
      </c>
      <c r="E64" s="747"/>
      <c r="F64" s="747"/>
      <c r="G64" s="748"/>
      <c r="H64" s="151"/>
      <c r="I64" s="159">
        <f ca="1">OFFSET(Cost_Ingredients!$M$117,$D64,0)</f>
        <v>0</v>
      </c>
      <c r="J64" s="64">
        <v>0</v>
      </c>
      <c r="L64" s="162">
        <f ca="1">OFFSET(Cost_Ingredients!$N$117,$D64,0)*$J64</f>
        <v>0</v>
      </c>
      <c r="M64" s="162">
        <f ca="1">OFFSET(Cost_Ingredients!$O$117,$D64,0)*$J64</f>
        <v>0</v>
      </c>
      <c r="N64" s="163">
        <f ca="1">L64/Cost_Ingredients!$J$21</f>
        <v>0</v>
      </c>
      <c r="O64" s="163">
        <f ca="1">M64/Cost_Ingredients!$J$21</f>
        <v>0</v>
      </c>
      <c r="P64" s="151"/>
    </row>
    <row r="65" spans="3:16" s="23" customFormat="1" outlineLevel="1">
      <c r="D65" s="746">
        <v>1</v>
      </c>
      <c r="E65" s="747"/>
      <c r="F65" s="747"/>
      <c r="G65" s="748"/>
      <c r="H65" s="151"/>
      <c r="I65" s="159">
        <f ca="1">OFFSET(Cost_Ingredients!$M$117,$D65,0)</f>
        <v>0</v>
      </c>
      <c r="J65" s="64">
        <v>0</v>
      </c>
      <c r="L65" s="162">
        <f ca="1">OFFSET(Cost_Ingredients!$N$117,$D65,0)*$J65</f>
        <v>0</v>
      </c>
      <c r="M65" s="162">
        <f ca="1">OFFSET(Cost_Ingredients!$O$117,$D65,0)*$J65</f>
        <v>0</v>
      </c>
      <c r="N65" s="163">
        <f ca="1">L65/Cost_Ingredients!$J$21</f>
        <v>0</v>
      </c>
      <c r="O65" s="163">
        <f ca="1">M65/Cost_Ingredients!$J$21</f>
        <v>0</v>
      </c>
      <c r="P65" s="151"/>
    </row>
    <row r="66" spans="3:16" s="23" customFormat="1" outlineLevel="1">
      <c r="D66" s="746">
        <v>1</v>
      </c>
      <c r="E66" s="747"/>
      <c r="F66" s="747"/>
      <c r="G66" s="748"/>
      <c r="H66" s="151"/>
      <c r="I66" s="159">
        <f ca="1">OFFSET(Cost_Ingredients!$M$117,$D66,0)</f>
        <v>0</v>
      </c>
      <c r="J66" s="64">
        <v>0</v>
      </c>
      <c r="L66" s="162">
        <f ca="1">OFFSET(Cost_Ingredients!$N$117,$D66,0)*$J66</f>
        <v>0</v>
      </c>
      <c r="M66" s="162">
        <f ca="1">OFFSET(Cost_Ingredients!$O$117,$D66,0)*$J66</f>
        <v>0</v>
      </c>
      <c r="N66" s="163">
        <f ca="1">L66/Cost_Ingredients!$J$21</f>
        <v>0</v>
      </c>
      <c r="O66" s="163">
        <f ca="1">M66/Cost_Ingredients!$J$21</f>
        <v>0</v>
      </c>
      <c r="P66" s="151"/>
    </row>
    <row r="67" spans="3:16" s="23" customFormat="1" outlineLevel="1">
      <c r="D67" s="746">
        <v>1</v>
      </c>
      <c r="E67" s="747"/>
      <c r="F67" s="747"/>
      <c r="G67" s="748"/>
      <c r="H67" s="151"/>
      <c r="I67" s="159">
        <f ca="1">OFFSET(Cost_Ingredients!$M$117,$D67,0)</f>
        <v>0</v>
      </c>
      <c r="J67" s="64">
        <v>0</v>
      </c>
      <c r="L67" s="162">
        <f ca="1">OFFSET(Cost_Ingredients!$N$117,$D67,0)*$J67</f>
        <v>0</v>
      </c>
      <c r="M67" s="162">
        <f ca="1">OFFSET(Cost_Ingredients!$O$117,$D67,0)*$J67</f>
        <v>0</v>
      </c>
      <c r="N67" s="163">
        <f ca="1">L67/Cost_Ingredients!$J$21</f>
        <v>0</v>
      </c>
      <c r="O67" s="163">
        <f ca="1">M67/Cost_Ingredients!$J$21</f>
        <v>0</v>
      </c>
      <c r="P67" s="151"/>
    </row>
    <row r="68" spans="3:16" s="23" customFormat="1" outlineLevel="1">
      <c r="D68" s="746">
        <v>1</v>
      </c>
      <c r="E68" s="747"/>
      <c r="F68" s="747"/>
      <c r="G68" s="748"/>
      <c r="H68" s="151"/>
      <c r="I68" s="159">
        <f ca="1">OFFSET(Cost_Ingredients!$M$117,$D68,0)</f>
        <v>0</v>
      </c>
      <c r="J68" s="64">
        <v>0</v>
      </c>
      <c r="L68" s="162">
        <f ca="1">OFFSET(Cost_Ingredients!$N$117,$D68,0)*$J68</f>
        <v>0</v>
      </c>
      <c r="M68" s="162">
        <f ca="1">OFFSET(Cost_Ingredients!$O$117,$D68,0)*$J68</f>
        <v>0</v>
      </c>
      <c r="N68" s="163">
        <f ca="1">L68/Cost_Ingredients!$J$21</f>
        <v>0</v>
      </c>
      <c r="O68" s="163">
        <f ca="1">M68/Cost_Ingredients!$J$21</f>
        <v>0</v>
      </c>
      <c r="P68" s="151"/>
    </row>
    <row r="69" spans="3:16" s="23" customFormat="1" outlineLevel="1">
      <c r="D69" s="746">
        <v>1</v>
      </c>
      <c r="E69" s="747"/>
      <c r="F69" s="747"/>
      <c r="G69" s="748"/>
      <c r="H69" s="151"/>
      <c r="I69" s="159">
        <f ca="1">OFFSET(Cost_Ingredients!$M$117,$D69,0)</f>
        <v>0</v>
      </c>
      <c r="J69" s="64">
        <v>0</v>
      </c>
      <c r="L69" s="162">
        <f ca="1">OFFSET(Cost_Ingredients!$N$117,$D69,0)*$J69</f>
        <v>0</v>
      </c>
      <c r="M69" s="162">
        <f ca="1">OFFSET(Cost_Ingredients!$O$117,$D69,0)*$J69</f>
        <v>0</v>
      </c>
      <c r="N69" s="163">
        <f ca="1">L69/Cost_Ingredients!$J$21</f>
        <v>0</v>
      </c>
      <c r="O69" s="163">
        <f ca="1">M69/Cost_Ingredients!$J$21</f>
        <v>0</v>
      </c>
      <c r="P69" s="151"/>
    </row>
    <row r="70" spans="3:16" s="23" customFormat="1" outlineLevel="1">
      <c r="D70" s="746">
        <v>1</v>
      </c>
      <c r="E70" s="747"/>
      <c r="F70" s="747"/>
      <c r="G70" s="748"/>
      <c r="H70" s="172"/>
      <c r="I70" s="159">
        <f ca="1">OFFSET(Cost_Ingredients!$M$117,$D70,0)</f>
        <v>0</v>
      </c>
      <c r="J70" s="173">
        <v>0</v>
      </c>
      <c r="L70" s="162">
        <f ca="1">OFFSET(Cost_Ingredients!$N$117,$D70,0)*$J70</f>
        <v>0</v>
      </c>
      <c r="M70" s="162">
        <f ca="1">OFFSET(Cost_Ingredients!$O$117,$D70,0)*$J70</f>
        <v>0</v>
      </c>
      <c r="N70" s="163">
        <f ca="1">L70/Cost_Ingredients!$J$21</f>
        <v>0</v>
      </c>
      <c r="O70" s="163">
        <f ca="1">M70/Cost_Ingredients!$J$21</f>
        <v>0</v>
      </c>
      <c r="P70" s="172"/>
    </row>
    <row r="71" spans="3:16" s="23" customFormat="1">
      <c r="D71" s="754" t="str">
        <f>"Subtotal - "&amp;C54</f>
        <v>Subtotal - Supplies &amp; Materials</v>
      </c>
      <c r="E71" s="755"/>
      <c r="F71" s="755"/>
      <c r="G71" s="755"/>
      <c r="H71" s="156"/>
      <c r="I71" s="156"/>
      <c r="J71" s="69"/>
      <c r="L71" s="255">
        <f ca="1">SUM(L56:L70)</f>
        <v>1</v>
      </c>
      <c r="M71" s="255">
        <f ca="1">SUM(M56:M70)</f>
        <v>6</v>
      </c>
      <c r="N71" s="258">
        <f ca="1">SUM(N56:N70)</f>
        <v>6.6666666666666671E-3</v>
      </c>
      <c r="O71" s="258">
        <f ca="1">SUM(O56:O70)</f>
        <v>0.04</v>
      </c>
      <c r="P71" s="156"/>
    </row>
    <row r="72" spans="3:16" s="23" customFormat="1"/>
    <row r="73" spans="3:16" s="23" customFormat="1">
      <c r="C73" s="153" t="str">
        <f>FLU_LU!$D$281</f>
        <v>Other Direct Costs (Recurrent)</v>
      </c>
    </row>
    <row r="74" spans="3:16" s="23" customFormat="1" ht="28.8" outlineLevel="1">
      <c r="D74" s="750" t="s">
        <v>100</v>
      </c>
      <c r="E74" s="750"/>
      <c r="F74" s="750"/>
      <c r="G74" s="750"/>
      <c r="H74" s="142" t="s">
        <v>274</v>
      </c>
      <c r="I74" s="72" t="s">
        <v>275</v>
      </c>
      <c r="J74" s="152" t="s">
        <v>67</v>
      </c>
      <c r="L74" s="28" t="str">
        <f>"Financial Price ("&amp;FLU_LU!$D$79&amp;")"</f>
        <v>Financial Price (GOZ)</v>
      </c>
      <c r="M74" s="28" t="str">
        <f>"Economic Price ("&amp;FLU_LU!$D$79&amp;")"</f>
        <v>Economic Price (GOZ)</v>
      </c>
      <c r="N74" s="28" t="str">
        <f>"Financial Price ("&amp;FLU_LU!$D$78&amp;")"</f>
        <v>Financial Price (USD)</v>
      </c>
      <c r="O74" s="28" t="str">
        <f>"Economic Price ("&amp;FLU_LU!$D$78&amp;")"</f>
        <v>Economic Price (USD)</v>
      </c>
      <c r="P74" s="152" t="s">
        <v>68</v>
      </c>
    </row>
    <row r="75" spans="3:16" s="23" customFormat="1" outlineLevel="1">
      <c r="D75" s="751">
        <v>2</v>
      </c>
      <c r="E75" s="752"/>
      <c r="F75" s="752"/>
      <c r="G75" s="753"/>
      <c r="H75" s="151"/>
      <c r="I75" s="159" t="str">
        <f ca="1">OFFSET(Cost_Ingredients!$M$146,$D75,0)</f>
        <v>litre</v>
      </c>
      <c r="J75" s="64">
        <v>5</v>
      </c>
      <c r="L75" s="162">
        <f ca="1">OFFSET(Cost_Ingredients!$N$146,$D75,0)*$J75</f>
        <v>850</v>
      </c>
      <c r="M75" s="162">
        <f ca="1">OFFSET(Cost_Ingredients!$O$146,$D75,0)*$J75</f>
        <v>850</v>
      </c>
      <c r="N75" s="163">
        <f ca="1">L75/Cost_Ingredients!$J$21</f>
        <v>5.666666666666667</v>
      </c>
      <c r="O75" s="163">
        <f ca="1">M75/Cost_Ingredients!$J$21</f>
        <v>5.666666666666667</v>
      </c>
      <c r="P75" s="151"/>
    </row>
    <row r="76" spans="3:16" s="23" customFormat="1" outlineLevel="1">
      <c r="D76" s="746">
        <v>1</v>
      </c>
      <c r="E76" s="747"/>
      <c r="F76" s="747"/>
      <c r="G76" s="748"/>
      <c r="H76" s="151"/>
      <c r="I76" s="159">
        <f ca="1">OFFSET(Cost_Ingredients!$M$146,$D76,0)</f>
        <v>0</v>
      </c>
      <c r="J76" s="64">
        <v>0</v>
      </c>
      <c r="L76" s="162">
        <f ca="1">OFFSET(Cost_Ingredients!$N$146,$D76,0)*$J76</f>
        <v>0</v>
      </c>
      <c r="M76" s="162">
        <f ca="1">OFFSET(Cost_Ingredients!$O$146,$D76,0)*$J76</f>
        <v>0</v>
      </c>
      <c r="N76" s="163">
        <f ca="1">L76/Cost_Ingredients!$J$21</f>
        <v>0</v>
      </c>
      <c r="O76" s="163">
        <f ca="1">M76/Cost_Ingredients!$J$21</f>
        <v>0</v>
      </c>
      <c r="P76" s="151"/>
    </row>
    <row r="77" spans="3:16" s="23" customFormat="1" outlineLevel="1">
      <c r="D77" s="746">
        <v>1</v>
      </c>
      <c r="E77" s="747"/>
      <c r="F77" s="747"/>
      <c r="G77" s="748"/>
      <c r="H77" s="151"/>
      <c r="I77" s="159">
        <f ca="1">OFFSET(Cost_Ingredients!$M$146,$D77,0)</f>
        <v>0</v>
      </c>
      <c r="J77" s="64">
        <v>0</v>
      </c>
      <c r="L77" s="162">
        <f ca="1">OFFSET(Cost_Ingredients!$N$146,$D77,0)*$J77</f>
        <v>0</v>
      </c>
      <c r="M77" s="162">
        <f ca="1">OFFSET(Cost_Ingredients!$O$146,$D77,0)*$J77</f>
        <v>0</v>
      </c>
      <c r="N77" s="163">
        <f ca="1">L77/Cost_Ingredients!$J$21</f>
        <v>0</v>
      </c>
      <c r="O77" s="163">
        <f ca="1">M77/Cost_Ingredients!$J$21</f>
        <v>0</v>
      </c>
      <c r="P77" s="151"/>
    </row>
    <row r="78" spans="3:16" s="23" customFormat="1" outlineLevel="1">
      <c r="D78" s="746">
        <v>1</v>
      </c>
      <c r="E78" s="747"/>
      <c r="F78" s="747"/>
      <c r="G78" s="748"/>
      <c r="H78" s="151"/>
      <c r="I78" s="159">
        <f ca="1">OFFSET(Cost_Ingredients!$M$146,$D78,0)</f>
        <v>0</v>
      </c>
      <c r="J78" s="64">
        <v>0</v>
      </c>
      <c r="L78" s="162">
        <f ca="1">OFFSET(Cost_Ingredients!$N$146,$D78,0)*$J78</f>
        <v>0</v>
      </c>
      <c r="M78" s="162">
        <f ca="1">OFFSET(Cost_Ingredients!$O$146,$D78,0)*$J78</f>
        <v>0</v>
      </c>
      <c r="N78" s="163">
        <f ca="1">L78/Cost_Ingredients!$J$21</f>
        <v>0</v>
      </c>
      <c r="O78" s="163">
        <f ca="1">M78/Cost_Ingredients!$J$21</f>
        <v>0</v>
      </c>
      <c r="P78" s="151"/>
    </row>
    <row r="79" spans="3:16" s="23" customFormat="1" outlineLevel="1">
      <c r="D79" s="746">
        <v>1</v>
      </c>
      <c r="E79" s="747"/>
      <c r="F79" s="747"/>
      <c r="G79" s="748"/>
      <c r="H79" s="151"/>
      <c r="I79" s="159">
        <f ca="1">OFFSET(Cost_Ingredients!$M$146,$D79,0)</f>
        <v>0</v>
      </c>
      <c r="J79" s="64">
        <v>0</v>
      </c>
      <c r="L79" s="162">
        <f ca="1">OFFSET(Cost_Ingredients!$N$146,$D79,0)*$J79</f>
        <v>0</v>
      </c>
      <c r="M79" s="162">
        <f ca="1">OFFSET(Cost_Ingredients!$O$146,$D79,0)*$J79</f>
        <v>0</v>
      </c>
      <c r="N79" s="163">
        <f ca="1">L79/Cost_Ingredients!$J$21</f>
        <v>0</v>
      </c>
      <c r="O79" s="163">
        <f ca="1">M79/Cost_Ingredients!$J$21</f>
        <v>0</v>
      </c>
      <c r="P79" s="151"/>
    </row>
    <row r="80" spans="3:16" s="23" customFormat="1" outlineLevel="1">
      <c r="D80" s="746">
        <v>1</v>
      </c>
      <c r="E80" s="747"/>
      <c r="F80" s="747"/>
      <c r="G80" s="748"/>
      <c r="H80" s="151"/>
      <c r="I80" s="159">
        <f ca="1">OFFSET(Cost_Ingredients!$M$146,$D80,0)</f>
        <v>0</v>
      </c>
      <c r="J80" s="64">
        <v>0</v>
      </c>
      <c r="L80" s="162">
        <f ca="1">OFFSET(Cost_Ingredients!$N$146,$D80,0)*$J80</f>
        <v>0</v>
      </c>
      <c r="M80" s="162">
        <f ca="1">OFFSET(Cost_Ingredients!$O$146,$D80,0)*$J80</f>
        <v>0</v>
      </c>
      <c r="N80" s="163">
        <f ca="1">L80/Cost_Ingredients!$J$21</f>
        <v>0</v>
      </c>
      <c r="O80" s="163">
        <f ca="1">M80/Cost_Ingredients!$J$21</f>
        <v>0</v>
      </c>
      <c r="P80" s="151"/>
    </row>
    <row r="81" spans="2:16" s="23" customFormat="1" outlineLevel="1">
      <c r="D81" s="746">
        <v>1</v>
      </c>
      <c r="E81" s="747"/>
      <c r="F81" s="747"/>
      <c r="G81" s="748"/>
      <c r="H81" s="151"/>
      <c r="I81" s="159">
        <f ca="1">OFFSET(Cost_Ingredients!$M$146,$D81,0)</f>
        <v>0</v>
      </c>
      <c r="J81" s="64">
        <v>0</v>
      </c>
      <c r="L81" s="162">
        <f ca="1">OFFSET(Cost_Ingredients!$N$146,$D81,0)*$J81</f>
        <v>0</v>
      </c>
      <c r="M81" s="162">
        <f ca="1">OFFSET(Cost_Ingredients!$O$146,$D81,0)*$J81</f>
        <v>0</v>
      </c>
      <c r="N81" s="163">
        <f ca="1">L81/Cost_Ingredients!$J$21</f>
        <v>0</v>
      </c>
      <c r="O81" s="163">
        <f ca="1">M81/Cost_Ingredients!$J$21</f>
        <v>0</v>
      </c>
      <c r="P81" s="151"/>
    </row>
    <row r="82" spans="2:16" s="23" customFormat="1" outlineLevel="1">
      <c r="D82" s="746">
        <v>1</v>
      </c>
      <c r="E82" s="747"/>
      <c r="F82" s="747"/>
      <c r="G82" s="748"/>
      <c r="H82" s="151"/>
      <c r="I82" s="159">
        <f ca="1">OFFSET(Cost_Ingredients!$M$146,$D82,0)</f>
        <v>0</v>
      </c>
      <c r="J82" s="64">
        <v>0</v>
      </c>
      <c r="L82" s="162">
        <f ca="1">OFFSET(Cost_Ingredients!$N$146,$D82,0)*$J82</f>
        <v>0</v>
      </c>
      <c r="M82" s="162">
        <f ca="1">OFFSET(Cost_Ingredients!$O$146,$D82,0)*$J82</f>
        <v>0</v>
      </c>
      <c r="N82" s="163">
        <f ca="1">L82/Cost_Ingredients!$J$21</f>
        <v>0</v>
      </c>
      <c r="O82" s="163">
        <f ca="1">M82/Cost_Ingredients!$J$21</f>
        <v>0</v>
      </c>
      <c r="P82" s="151"/>
    </row>
    <row r="83" spans="2:16" s="23" customFormat="1" outlineLevel="1">
      <c r="D83" s="746">
        <v>1</v>
      </c>
      <c r="E83" s="747"/>
      <c r="F83" s="747"/>
      <c r="G83" s="748"/>
      <c r="H83" s="151"/>
      <c r="I83" s="159">
        <f ca="1">OFFSET(Cost_Ingredients!$M$146,$D83,0)</f>
        <v>0</v>
      </c>
      <c r="J83" s="64">
        <v>0</v>
      </c>
      <c r="L83" s="162">
        <f ca="1">OFFSET(Cost_Ingredients!$N$146,$D83,0)*$J83</f>
        <v>0</v>
      </c>
      <c r="M83" s="162">
        <f ca="1">OFFSET(Cost_Ingredients!$O$146,$D83,0)*$J83</f>
        <v>0</v>
      </c>
      <c r="N83" s="163">
        <f ca="1">L83/Cost_Ingredients!$J$21</f>
        <v>0</v>
      </c>
      <c r="O83" s="163">
        <f ca="1">M83/Cost_Ingredients!$J$21</f>
        <v>0</v>
      </c>
      <c r="P83" s="151"/>
    </row>
    <row r="84" spans="2:16" s="23" customFormat="1" outlineLevel="1">
      <c r="D84" s="746">
        <v>1</v>
      </c>
      <c r="E84" s="747"/>
      <c r="F84" s="747"/>
      <c r="G84" s="748"/>
      <c r="H84" s="151"/>
      <c r="I84" s="159">
        <f ca="1">OFFSET(Cost_Ingredients!$M$146,$D84,0)</f>
        <v>0</v>
      </c>
      <c r="J84" s="64">
        <v>0</v>
      </c>
      <c r="L84" s="162">
        <f ca="1">OFFSET(Cost_Ingredients!$N$146,$D84,0)*$J84</f>
        <v>0</v>
      </c>
      <c r="M84" s="162">
        <f ca="1">OFFSET(Cost_Ingredients!$O$146,$D84,0)*$J84</f>
        <v>0</v>
      </c>
      <c r="N84" s="163">
        <f ca="1">L84/Cost_Ingredients!$J$21</f>
        <v>0</v>
      </c>
      <c r="O84" s="163">
        <f ca="1">M84/Cost_Ingredients!$J$21</f>
        <v>0</v>
      </c>
      <c r="P84" s="151"/>
    </row>
    <row r="85" spans="2:16" s="23" customFormat="1" outlineLevel="1">
      <c r="D85" s="746">
        <v>1</v>
      </c>
      <c r="E85" s="747"/>
      <c r="F85" s="747"/>
      <c r="G85" s="748"/>
      <c r="H85" s="151"/>
      <c r="I85" s="159">
        <f ca="1">OFFSET(Cost_Ingredients!$M$146,$D85,0)</f>
        <v>0</v>
      </c>
      <c r="J85" s="64">
        <v>0</v>
      </c>
      <c r="L85" s="162">
        <f ca="1">OFFSET(Cost_Ingredients!$N$146,$D85,0)*$J85</f>
        <v>0</v>
      </c>
      <c r="M85" s="162">
        <f ca="1">OFFSET(Cost_Ingredients!$O$146,$D85,0)*$J85</f>
        <v>0</v>
      </c>
      <c r="N85" s="163">
        <f ca="1">L85/Cost_Ingredients!$J$21</f>
        <v>0</v>
      </c>
      <c r="O85" s="163">
        <f ca="1">M85/Cost_Ingredients!$J$21</f>
        <v>0</v>
      </c>
      <c r="P85" s="151"/>
    </row>
    <row r="86" spans="2:16" s="23" customFormat="1" outlineLevel="1">
      <c r="D86" s="746">
        <v>1</v>
      </c>
      <c r="E86" s="747"/>
      <c r="F86" s="747"/>
      <c r="G86" s="748"/>
      <c r="H86" s="151"/>
      <c r="I86" s="159">
        <f ca="1">OFFSET(Cost_Ingredients!$M$146,$D86,0)</f>
        <v>0</v>
      </c>
      <c r="J86" s="64">
        <v>0</v>
      </c>
      <c r="L86" s="162">
        <f ca="1">OFFSET(Cost_Ingredients!$N$146,$D86,0)*$J86</f>
        <v>0</v>
      </c>
      <c r="M86" s="162">
        <f ca="1">OFFSET(Cost_Ingredients!$O$146,$D86,0)*$J86</f>
        <v>0</v>
      </c>
      <c r="N86" s="163">
        <f ca="1">L86/Cost_Ingredients!$J$21</f>
        <v>0</v>
      </c>
      <c r="O86" s="163">
        <f ca="1">M86/Cost_Ingredients!$J$21</f>
        <v>0</v>
      </c>
      <c r="P86" s="151"/>
    </row>
    <row r="87" spans="2:16" s="23" customFormat="1" outlineLevel="1">
      <c r="D87" s="746">
        <v>1</v>
      </c>
      <c r="E87" s="747"/>
      <c r="F87" s="747"/>
      <c r="G87" s="748"/>
      <c r="H87" s="151"/>
      <c r="I87" s="159">
        <f ca="1">OFFSET(Cost_Ingredients!$M$146,$D87,0)</f>
        <v>0</v>
      </c>
      <c r="J87" s="64">
        <v>0</v>
      </c>
      <c r="L87" s="162">
        <f ca="1">OFFSET(Cost_Ingredients!$N$146,$D87,0)*$J87</f>
        <v>0</v>
      </c>
      <c r="M87" s="162">
        <f ca="1">OFFSET(Cost_Ingredients!$O$146,$D87,0)*$J87</f>
        <v>0</v>
      </c>
      <c r="N87" s="163">
        <f ca="1">L87/Cost_Ingredients!$J$21</f>
        <v>0</v>
      </c>
      <c r="O87" s="163">
        <f ca="1">M87/Cost_Ingredients!$J$21</f>
        <v>0</v>
      </c>
      <c r="P87" s="151"/>
    </row>
    <row r="88" spans="2:16" s="23" customFormat="1" outlineLevel="1">
      <c r="D88" s="746">
        <v>1</v>
      </c>
      <c r="E88" s="747"/>
      <c r="F88" s="747"/>
      <c r="G88" s="748"/>
      <c r="H88" s="151"/>
      <c r="I88" s="159">
        <f ca="1">OFFSET(Cost_Ingredients!$M$146,$D88,0)</f>
        <v>0</v>
      </c>
      <c r="J88" s="64">
        <v>0</v>
      </c>
      <c r="L88" s="162">
        <f ca="1">OFFSET(Cost_Ingredients!$N$146,$D88,0)*$J88</f>
        <v>0</v>
      </c>
      <c r="M88" s="162">
        <f ca="1">OFFSET(Cost_Ingredients!$O$146,$D88,0)*$J88</f>
        <v>0</v>
      </c>
      <c r="N88" s="163">
        <f ca="1">L88/Cost_Ingredients!$J$21</f>
        <v>0</v>
      </c>
      <c r="O88" s="163">
        <f ca="1">M88/Cost_Ingredients!$J$21</f>
        <v>0</v>
      </c>
      <c r="P88" s="151"/>
    </row>
    <row r="89" spans="2:16" s="23" customFormat="1" outlineLevel="1">
      <c r="D89" s="746">
        <v>1</v>
      </c>
      <c r="E89" s="747"/>
      <c r="F89" s="747"/>
      <c r="G89" s="748"/>
      <c r="H89" s="172"/>
      <c r="I89" s="159">
        <f ca="1">OFFSET(Cost_Ingredients!$M$146,$D89,0)</f>
        <v>0</v>
      </c>
      <c r="J89" s="173">
        <v>0</v>
      </c>
      <c r="L89" s="162">
        <f ca="1">OFFSET(Cost_Ingredients!$N$146,$D89,0)*$J89</f>
        <v>0</v>
      </c>
      <c r="M89" s="162">
        <f ca="1">OFFSET(Cost_Ingredients!$O$146,$D89,0)*$J89</f>
        <v>0</v>
      </c>
      <c r="N89" s="163">
        <f ca="1">L89/Cost_Ingredients!$J$21</f>
        <v>0</v>
      </c>
      <c r="O89" s="163">
        <f ca="1">M89/Cost_Ingredients!$J$21</f>
        <v>0</v>
      </c>
      <c r="P89" s="172"/>
    </row>
    <row r="90" spans="2:16" s="23" customFormat="1">
      <c r="D90" s="754" t="str">
        <f>"Subtotal - "&amp;C73</f>
        <v>Subtotal - Other Direct Costs (Recurrent)</v>
      </c>
      <c r="E90" s="755"/>
      <c r="F90" s="755"/>
      <c r="G90" s="755"/>
      <c r="H90" s="156"/>
      <c r="I90" s="156"/>
      <c r="J90" s="69"/>
      <c r="L90" s="255">
        <f ca="1">SUM(L75:L89)</f>
        <v>850</v>
      </c>
      <c r="M90" s="255">
        <f ca="1">SUM(M75:M89)</f>
        <v>850</v>
      </c>
      <c r="N90" s="258">
        <f ca="1">SUM(N75:N89)</f>
        <v>5.666666666666667</v>
      </c>
      <c r="O90" s="258">
        <f ca="1">SUM(O75:O89)</f>
        <v>5.666666666666667</v>
      </c>
      <c r="P90" s="156"/>
    </row>
    <row r="91" spans="2:16" s="23" customFormat="1"/>
    <row r="92" spans="2:16" s="23" customFormat="1" ht="15" thickBot="1">
      <c r="C92" s="70" t="str">
        <f>HL_FLU_Micro_A_Assumptions&amp;" -Cost per Activity"</f>
        <v>Detailed Costing Develop Annual Influenza Programme Plan and Budget -Cost per Activity</v>
      </c>
      <c r="L92" s="44">
        <f ca="1">SUM(L33,L52,L71,L90)</f>
        <v>22851</v>
      </c>
      <c r="M92" s="44">
        <f ca="1">SUM(M33,M52,M71,M90)</f>
        <v>22856</v>
      </c>
      <c r="N92" s="74">
        <f ca="1">SUM(N33,N52,N71,N90)</f>
        <v>152.33999999999997</v>
      </c>
      <c r="O92" s="74">
        <f ca="1">SUM(O33,O52,O71,O90)</f>
        <v>152.37333333333331</v>
      </c>
    </row>
    <row r="93" spans="2:16" s="23" customFormat="1" ht="15" thickTop="1"/>
    <row r="94" spans="2:16" s="23" customFormat="1"/>
    <row r="95" spans="2:16" ht="17.399999999999999">
      <c r="B95" s="81" t="str">
        <f>"Detailed Costing "&amp;MICRO!E18</f>
        <v>Detailed Costing IPH meets w/ District Epidemiologists to Prepare for Flu Vaccination Activities</v>
      </c>
      <c r="I95" s="23"/>
      <c r="K95" s="23"/>
      <c r="L95" s="23"/>
      <c r="M95" s="23"/>
      <c r="N95" s="23"/>
      <c r="O95" s="23"/>
    </row>
    <row r="96" spans="2:16">
      <c r="I96" s="23"/>
      <c r="K96" s="23"/>
      <c r="L96" s="23"/>
      <c r="M96" s="23"/>
      <c r="N96" s="23"/>
      <c r="O96" s="23"/>
    </row>
    <row r="97" spans="3:16">
      <c r="F97" s="152" t="s">
        <v>597</v>
      </c>
      <c r="H97" s="667" t="s">
        <v>599</v>
      </c>
      <c r="I97" s="667"/>
      <c r="J97" s="667"/>
      <c r="K97" s="667"/>
      <c r="L97" s="667"/>
      <c r="M97" s="667"/>
      <c r="N97" s="667"/>
      <c r="O97" s="667"/>
      <c r="P97" s="667"/>
    </row>
    <row r="98" spans="3:16">
      <c r="I98" s="23"/>
      <c r="K98" s="23"/>
      <c r="L98" s="23"/>
      <c r="M98" s="23"/>
      <c r="N98" s="23"/>
      <c r="O98" s="23"/>
    </row>
    <row r="99" spans="3:16">
      <c r="E99" s="152" t="s">
        <v>273</v>
      </c>
      <c r="I99" s="23"/>
      <c r="K99" s="23"/>
      <c r="L99" s="23"/>
      <c r="M99" s="23"/>
      <c r="N99" s="23"/>
      <c r="O99" s="23"/>
    </row>
    <row r="100" spans="3:16">
      <c r="H100" s="23"/>
      <c r="I100" s="23"/>
      <c r="K100" s="23"/>
      <c r="L100" s="23"/>
      <c r="M100" s="23"/>
      <c r="N100" s="23"/>
      <c r="O100" s="23"/>
    </row>
    <row r="101" spans="3:16">
      <c r="C101" s="153" t="str">
        <f>FLU_LU!$D$278</f>
        <v xml:space="preserve">Personnel </v>
      </c>
      <c r="I101" s="23"/>
      <c r="K101" s="23"/>
      <c r="L101" s="23"/>
      <c r="M101" s="23"/>
      <c r="N101" s="23"/>
      <c r="O101" s="23"/>
    </row>
    <row r="102" spans="3:16" ht="43.2" outlineLevel="1">
      <c r="D102" s="733" t="s">
        <v>100</v>
      </c>
      <c r="E102" s="733"/>
      <c r="F102" s="733"/>
      <c r="G102" s="733"/>
      <c r="H102" s="142" t="s">
        <v>274</v>
      </c>
      <c r="I102" s="72" t="s">
        <v>474</v>
      </c>
      <c r="J102" s="152" t="s">
        <v>67</v>
      </c>
      <c r="K102" s="72" t="s">
        <v>475</v>
      </c>
      <c r="L102" s="28" t="str">
        <f>"Financial Price ("&amp;FLU_LU!$D$79&amp;")"</f>
        <v>Financial Price (GOZ)</v>
      </c>
      <c r="M102" s="28" t="str">
        <f>"Economic Price ("&amp;FLU_LU!$D$79&amp;")"</f>
        <v>Economic Price (GOZ)</v>
      </c>
      <c r="N102" s="28" t="str">
        <f>"Financial Price ("&amp;FLU_LU!$D$78&amp;")"</f>
        <v>Financial Price (USD)</v>
      </c>
      <c r="O102" s="28" t="str">
        <f>"Economic Price ("&amp;FLU_LU!$D$78&amp;")"</f>
        <v>Economic Price (USD)</v>
      </c>
      <c r="P102" s="152" t="s">
        <v>68</v>
      </c>
    </row>
    <row r="103" spans="3:16" s="23" customFormat="1" outlineLevel="1">
      <c r="D103" s="746">
        <v>5</v>
      </c>
      <c r="E103" s="746"/>
      <c r="F103" s="746"/>
      <c r="G103" s="749"/>
      <c r="H103" s="151" t="s">
        <v>276</v>
      </c>
      <c r="I103" s="31">
        <v>1</v>
      </c>
      <c r="J103" s="64">
        <v>2</v>
      </c>
      <c r="K103" s="135">
        <f t="shared" ref="K103:K117" si="0">IF(I103=1,J103/FLU_DAYS_PER_MONTH,IF(I103=2,J103/FLU_HOURS_PER_MONTH,J103/FLU_MINUTES_PER_MONTH))</f>
        <v>9.0909090909090912E-2</v>
      </c>
      <c r="L103" s="162">
        <f ca="1">OFFSET(Cost_Ingredients!$N$73,DD_FLU_DETAILED_MICRO_B_PERS_1,0)*$K103</f>
        <v>0</v>
      </c>
      <c r="M103" s="162">
        <f ca="1">OFFSET(Cost_Ingredients!$O$73,DD_FLU_DETAILED_MICRO_B_PERS_1,0)*$K103</f>
        <v>4145.454545454546</v>
      </c>
      <c r="N103" s="179">
        <f ca="1">L103/Cost_Ingredients!$J$21</f>
        <v>0</v>
      </c>
      <c r="O103" s="179">
        <f ca="1">M103/Cost_Ingredients!$J$21</f>
        <v>27.63636363636364</v>
      </c>
      <c r="P103" s="151"/>
    </row>
    <row r="104" spans="3:16" s="23" customFormat="1" outlineLevel="1">
      <c r="D104" s="746">
        <v>14</v>
      </c>
      <c r="E104" s="746"/>
      <c r="F104" s="746"/>
      <c r="G104" s="749"/>
      <c r="H104" s="151" t="s">
        <v>353</v>
      </c>
      <c r="I104" s="31">
        <v>2</v>
      </c>
      <c r="J104" s="64">
        <v>32</v>
      </c>
      <c r="K104" s="135">
        <f t="shared" si="0"/>
        <v>0.18181818181818182</v>
      </c>
      <c r="L104" s="162">
        <f ca="1">OFFSET(Cost_Ingredients!$N$73,DD_FLU_DETAILED_MICRO_B_PERS_2,0)*$K104</f>
        <v>0</v>
      </c>
      <c r="M104" s="162">
        <f ca="1">OFFSET(Cost_Ingredients!$O$73,DD_FLU_DETAILED_MICRO_B_PERS_2,0)*$K104</f>
        <v>13897.909090909092</v>
      </c>
      <c r="N104" s="179">
        <f ca="1">L104/Cost_Ingredients!$J$21</f>
        <v>0</v>
      </c>
      <c r="O104" s="179">
        <f ca="1">M104/Cost_Ingredients!$J$21</f>
        <v>92.652727272727276</v>
      </c>
      <c r="P104" s="151"/>
    </row>
    <row r="105" spans="3:16" s="23" customFormat="1" outlineLevel="1">
      <c r="D105" s="746">
        <v>15</v>
      </c>
      <c r="E105" s="746"/>
      <c r="F105" s="746"/>
      <c r="G105" s="749"/>
      <c r="H105" s="151" t="s">
        <v>353</v>
      </c>
      <c r="I105" s="31">
        <v>2</v>
      </c>
      <c r="J105" s="64">
        <v>32</v>
      </c>
      <c r="K105" s="135">
        <f t="shared" si="0"/>
        <v>0.18181818181818182</v>
      </c>
      <c r="L105" s="162">
        <f ca="1">OFFSET(Cost_Ingredients!$N$73,DD_FLU_DETAILED_MICRO_B_PERS_3,0)*$K105</f>
        <v>0</v>
      </c>
      <c r="M105" s="162">
        <f ca="1">OFFSET(Cost_Ingredients!$O$73,DD_FLU_DETAILED_MICRO_B_PERS_3,0)*$K105</f>
        <v>9866.454545454546</v>
      </c>
      <c r="N105" s="179">
        <f ca="1">L105/Cost_Ingredients!$J$21</f>
        <v>0</v>
      </c>
      <c r="O105" s="179">
        <f ca="1">M105/Cost_Ingredients!$J$21</f>
        <v>65.776363636363641</v>
      </c>
      <c r="P105" s="151"/>
    </row>
    <row r="106" spans="3:16" s="23" customFormat="1" outlineLevel="1">
      <c r="D106" s="746">
        <v>1</v>
      </c>
      <c r="E106" s="746"/>
      <c r="F106" s="746"/>
      <c r="G106" s="749"/>
      <c r="H106" s="151"/>
      <c r="I106" s="31">
        <v>1</v>
      </c>
      <c r="J106" s="64"/>
      <c r="K106" s="135">
        <f t="shared" si="0"/>
        <v>0</v>
      </c>
      <c r="L106" s="162">
        <f ca="1">OFFSET(Cost_Ingredients!$N$73,DD_FLU_DETAILED_MICRO_B_PERS_4,0)*$K106</f>
        <v>0</v>
      </c>
      <c r="M106" s="162">
        <f ca="1">OFFSET(Cost_Ingredients!$O$73,DD_FLU_DETAILED_MICRO_B_PERS_4,0)*$K106</f>
        <v>0</v>
      </c>
      <c r="N106" s="179">
        <f ca="1">L106/Cost_Ingredients!$J$21</f>
        <v>0</v>
      </c>
      <c r="O106" s="179">
        <f ca="1">M106/Cost_Ingredients!$J$21</f>
        <v>0</v>
      </c>
      <c r="P106" s="151"/>
    </row>
    <row r="107" spans="3:16" s="23" customFormat="1" outlineLevel="1">
      <c r="D107" s="746">
        <v>1</v>
      </c>
      <c r="E107" s="746"/>
      <c r="F107" s="746"/>
      <c r="G107" s="749"/>
      <c r="H107" s="151"/>
      <c r="I107" s="31">
        <v>1</v>
      </c>
      <c r="J107" s="64"/>
      <c r="K107" s="135">
        <f t="shared" si="0"/>
        <v>0</v>
      </c>
      <c r="L107" s="162">
        <f ca="1">OFFSET(Cost_Ingredients!$N$73,DD_FLU_DETAILED_MICRO_B_PERS_5,0)*$K107</f>
        <v>0</v>
      </c>
      <c r="M107" s="162">
        <f ca="1">OFFSET(Cost_Ingredients!$O$73,DD_FLU_DETAILED_MICRO_B_PERS_5,0)*$K107</f>
        <v>0</v>
      </c>
      <c r="N107" s="179">
        <f ca="1">L107/Cost_Ingredients!$J$21</f>
        <v>0</v>
      </c>
      <c r="O107" s="179">
        <f ca="1">M107/Cost_Ingredients!$J$21</f>
        <v>0</v>
      </c>
      <c r="P107" s="151"/>
    </row>
    <row r="108" spans="3:16" s="23" customFormat="1" outlineLevel="1">
      <c r="D108" s="746">
        <v>1</v>
      </c>
      <c r="E108" s="746"/>
      <c r="F108" s="746"/>
      <c r="G108" s="749"/>
      <c r="H108" s="151"/>
      <c r="I108" s="31">
        <v>1</v>
      </c>
      <c r="J108" s="64"/>
      <c r="K108" s="135">
        <f t="shared" si="0"/>
        <v>0</v>
      </c>
      <c r="L108" s="162">
        <f ca="1">OFFSET(Cost_Ingredients!$N$73,DD_FLU_DETAILED_MICRO_B_PERS_6,0)*$K108</f>
        <v>0</v>
      </c>
      <c r="M108" s="162">
        <f ca="1">OFFSET(Cost_Ingredients!$O$73,DD_FLU_DETAILED_MICRO_B_PERS_6,0)*$K108</f>
        <v>0</v>
      </c>
      <c r="N108" s="179">
        <f ca="1">L108/Cost_Ingredients!$J$21</f>
        <v>0</v>
      </c>
      <c r="O108" s="179">
        <f ca="1">M108/Cost_Ingredients!$J$21</f>
        <v>0</v>
      </c>
      <c r="P108" s="151"/>
    </row>
    <row r="109" spans="3:16" s="23" customFormat="1" outlineLevel="1">
      <c r="D109" s="746">
        <v>1</v>
      </c>
      <c r="E109" s="746"/>
      <c r="F109" s="746"/>
      <c r="G109" s="749"/>
      <c r="H109" s="151"/>
      <c r="I109" s="31">
        <v>1</v>
      </c>
      <c r="J109" s="64">
        <v>0</v>
      </c>
      <c r="K109" s="135">
        <f t="shared" si="0"/>
        <v>0</v>
      </c>
      <c r="L109" s="162">
        <f ca="1">OFFSET(Cost_Ingredients!$N$73,DD_FLU_DETAILED_MICRO_B_PERS_7,0)*$K109</f>
        <v>0</v>
      </c>
      <c r="M109" s="162">
        <f ca="1">OFFSET(Cost_Ingredients!$O$73,DD_FLU_DETAILED_MICRO_B_PERS_7,0)*$K109</f>
        <v>0</v>
      </c>
      <c r="N109" s="179">
        <f ca="1">L109/Cost_Ingredients!$J$21</f>
        <v>0</v>
      </c>
      <c r="O109" s="179">
        <f ca="1">M109/Cost_Ingredients!$J$21</f>
        <v>0</v>
      </c>
      <c r="P109" s="151"/>
    </row>
    <row r="110" spans="3:16" s="23" customFormat="1" outlineLevel="1">
      <c r="D110" s="746">
        <v>1</v>
      </c>
      <c r="E110" s="746"/>
      <c r="F110" s="746"/>
      <c r="G110" s="749"/>
      <c r="H110" s="151"/>
      <c r="I110" s="31">
        <v>1</v>
      </c>
      <c r="J110" s="64">
        <v>0</v>
      </c>
      <c r="K110" s="135">
        <f t="shared" si="0"/>
        <v>0</v>
      </c>
      <c r="L110" s="162">
        <f ca="1">OFFSET(Cost_Ingredients!$N$73,DD_FLU_DETAILED_MICRO_B_PERS_8,0)*$K110</f>
        <v>0</v>
      </c>
      <c r="M110" s="162">
        <f ca="1">OFFSET(Cost_Ingredients!$O$73,DD_FLU_DETAILED_MICRO_B_PERS_8,0)*$K110</f>
        <v>0</v>
      </c>
      <c r="N110" s="179">
        <f ca="1">L110/Cost_Ingredients!$J$21</f>
        <v>0</v>
      </c>
      <c r="O110" s="179">
        <f ca="1">M110/Cost_Ingredients!$J$21</f>
        <v>0</v>
      </c>
      <c r="P110" s="151"/>
    </row>
    <row r="111" spans="3:16" s="23" customFormat="1" outlineLevel="1">
      <c r="D111" s="746">
        <v>1</v>
      </c>
      <c r="E111" s="746"/>
      <c r="F111" s="746"/>
      <c r="G111" s="749"/>
      <c r="H111" s="151"/>
      <c r="I111" s="31">
        <v>1</v>
      </c>
      <c r="J111" s="64">
        <v>0</v>
      </c>
      <c r="K111" s="135">
        <f t="shared" si="0"/>
        <v>0</v>
      </c>
      <c r="L111" s="162">
        <f ca="1">OFFSET(Cost_Ingredients!$N$73,DD_FLU_DETAILED_MICRO_B_PERS_9,0)*$K111</f>
        <v>0</v>
      </c>
      <c r="M111" s="162">
        <f ca="1">OFFSET(Cost_Ingredients!$O$73,DD_FLU_DETAILED_MICRO_B_PERS_9,0)*$K111</f>
        <v>0</v>
      </c>
      <c r="N111" s="179">
        <f ca="1">L111/Cost_Ingredients!$J$21</f>
        <v>0</v>
      </c>
      <c r="O111" s="179">
        <f ca="1">M111/Cost_Ingredients!$J$21</f>
        <v>0</v>
      </c>
      <c r="P111" s="151"/>
    </row>
    <row r="112" spans="3:16" s="23" customFormat="1" outlineLevel="1">
      <c r="D112" s="746">
        <v>1</v>
      </c>
      <c r="E112" s="746"/>
      <c r="F112" s="746"/>
      <c r="G112" s="749"/>
      <c r="H112" s="151"/>
      <c r="I112" s="31">
        <v>1</v>
      </c>
      <c r="J112" s="64">
        <v>0</v>
      </c>
      <c r="K112" s="135">
        <f t="shared" si="0"/>
        <v>0</v>
      </c>
      <c r="L112" s="162">
        <f ca="1">OFFSET(Cost_Ingredients!$N$73,DD_FLU_DETAILED_MICRO_B_PERS_10,0)*$K112</f>
        <v>0</v>
      </c>
      <c r="M112" s="162">
        <f ca="1">OFFSET(Cost_Ingredients!$O$73,DD_FLU_DETAILED_MICRO_B_PERS_10,0)*$K112</f>
        <v>0</v>
      </c>
      <c r="N112" s="179">
        <f ca="1">L112/Cost_Ingredients!$J$21</f>
        <v>0</v>
      </c>
      <c r="O112" s="179">
        <f ca="1">M112/Cost_Ingredients!$J$21</f>
        <v>0</v>
      </c>
      <c r="P112" s="151"/>
    </row>
    <row r="113" spans="3:16" s="23" customFormat="1" outlineLevel="1">
      <c r="D113" s="746">
        <v>1</v>
      </c>
      <c r="E113" s="746"/>
      <c r="F113" s="746"/>
      <c r="G113" s="749"/>
      <c r="H113" s="151"/>
      <c r="I113" s="31">
        <v>1</v>
      </c>
      <c r="J113" s="64">
        <v>0</v>
      </c>
      <c r="K113" s="135">
        <f t="shared" si="0"/>
        <v>0</v>
      </c>
      <c r="L113" s="162">
        <f ca="1">OFFSET(Cost_Ingredients!$N$73,DD_FLU_DETAILED_MICRO_B_PERS_11,0)*$K113</f>
        <v>0</v>
      </c>
      <c r="M113" s="162">
        <f ca="1">OFFSET(Cost_Ingredients!$O$73,DD_FLU_DETAILED_MICRO_B_PERS_11,0)*$K113</f>
        <v>0</v>
      </c>
      <c r="N113" s="179">
        <f ca="1">L113/Cost_Ingredients!$J$21</f>
        <v>0</v>
      </c>
      <c r="O113" s="179">
        <f ca="1">M113/Cost_Ingredients!$J$21</f>
        <v>0</v>
      </c>
      <c r="P113" s="151"/>
    </row>
    <row r="114" spans="3:16" s="23" customFormat="1" outlineLevel="1">
      <c r="D114" s="746">
        <v>1</v>
      </c>
      <c r="E114" s="746"/>
      <c r="F114" s="746"/>
      <c r="G114" s="749"/>
      <c r="H114" s="151"/>
      <c r="I114" s="31">
        <v>1</v>
      </c>
      <c r="J114" s="64">
        <v>0</v>
      </c>
      <c r="K114" s="135">
        <f t="shared" si="0"/>
        <v>0</v>
      </c>
      <c r="L114" s="162">
        <f ca="1">OFFSET(Cost_Ingredients!$N$73,DD_FLU_DETAILED_MICRO_B_PERS_12,0)*$K114</f>
        <v>0</v>
      </c>
      <c r="M114" s="162">
        <f ca="1">OFFSET(Cost_Ingredients!$O$73,DD_FLU_DETAILED_MICRO_B_PERS_12,0)*$K114</f>
        <v>0</v>
      </c>
      <c r="N114" s="179">
        <f ca="1">L114/Cost_Ingredients!$J$21</f>
        <v>0</v>
      </c>
      <c r="O114" s="179">
        <f ca="1">M114/Cost_Ingredients!$J$21</f>
        <v>0</v>
      </c>
      <c r="P114" s="151"/>
    </row>
    <row r="115" spans="3:16" s="23" customFormat="1" outlineLevel="1">
      <c r="D115" s="746">
        <v>1</v>
      </c>
      <c r="E115" s="746"/>
      <c r="F115" s="746"/>
      <c r="G115" s="749"/>
      <c r="H115" s="151"/>
      <c r="I115" s="31">
        <v>1</v>
      </c>
      <c r="J115" s="64">
        <v>0</v>
      </c>
      <c r="K115" s="135">
        <f t="shared" si="0"/>
        <v>0</v>
      </c>
      <c r="L115" s="162">
        <f ca="1">OFFSET(Cost_Ingredients!$N$73,DD_FLU_DETAILED_MICRO_B_PERS_13,0)*$K115</f>
        <v>0</v>
      </c>
      <c r="M115" s="162">
        <f ca="1">OFFSET(Cost_Ingredients!$O$73,DD_FLU_DETAILED_MICRO_B_PERS_13,0)*$K115</f>
        <v>0</v>
      </c>
      <c r="N115" s="179">
        <f ca="1">L115/Cost_Ingredients!$J$21</f>
        <v>0</v>
      </c>
      <c r="O115" s="179">
        <f ca="1">M115/Cost_Ingredients!$J$21</f>
        <v>0</v>
      </c>
      <c r="P115" s="151"/>
    </row>
    <row r="116" spans="3:16" s="23" customFormat="1" outlineLevel="1">
      <c r="D116" s="746">
        <v>1</v>
      </c>
      <c r="E116" s="746"/>
      <c r="F116" s="746"/>
      <c r="G116" s="749"/>
      <c r="H116" s="151"/>
      <c r="I116" s="31">
        <v>1</v>
      </c>
      <c r="J116" s="64">
        <v>0</v>
      </c>
      <c r="K116" s="135">
        <f t="shared" si="0"/>
        <v>0</v>
      </c>
      <c r="L116" s="162">
        <f ca="1">OFFSET(Cost_Ingredients!$N$73,DD_FLU_DETAILED_MICRO_B_PERS_14,0)*$K116</f>
        <v>0</v>
      </c>
      <c r="M116" s="162">
        <f ca="1">OFFSET(Cost_Ingredients!$O$73,DD_FLU_DETAILED_MICRO_B_PERS_14,0)*$K116</f>
        <v>0</v>
      </c>
      <c r="N116" s="179">
        <f ca="1">L116/Cost_Ingredients!$J$21</f>
        <v>0</v>
      </c>
      <c r="O116" s="179">
        <f ca="1">M116/Cost_Ingredients!$J$21</f>
        <v>0</v>
      </c>
      <c r="P116" s="151"/>
    </row>
    <row r="117" spans="3:16" s="23" customFormat="1" outlineLevel="1">
      <c r="D117" s="746">
        <v>1</v>
      </c>
      <c r="E117" s="746"/>
      <c r="F117" s="746"/>
      <c r="G117" s="749"/>
      <c r="H117" s="172"/>
      <c r="I117" s="31">
        <v>1</v>
      </c>
      <c r="J117" s="173">
        <v>0</v>
      </c>
      <c r="K117" s="135">
        <f t="shared" si="0"/>
        <v>0</v>
      </c>
      <c r="L117" s="162">
        <f ca="1">OFFSET(Cost_Ingredients!$N$73,DD_FLU_DETAILED_MICRO_B_PERS_15,0)*$K117</f>
        <v>0</v>
      </c>
      <c r="M117" s="162">
        <f ca="1">OFFSET(Cost_Ingredients!$O$73,DD_FLU_DETAILED_MICRO_B_PERS_15,0)*$K117</f>
        <v>0</v>
      </c>
      <c r="N117" s="179">
        <f ca="1">L117/Cost_Ingredients!$J$21</f>
        <v>0</v>
      </c>
      <c r="O117" s="179">
        <f ca="1">M117/Cost_Ingredients!$J$21</f>
        <v>0</v>
      </c>
      <c r="P117" s="172"/>
    </row>
    <row r="118" spans="3:16" s="23" customFormat="1">
      <c r="D118" s="12"/>
      <c r="E118" s="12"/>
      <c r="F118" s="12"/>
      <c r="G118" s="12"/>
      <c r="H118" s="156"/>
      <c r="I118" s="12"/>
      <c r="J118" s="69"/>
      <c r="K118" s="18"/>
      <c r="L118" s="255">
        <f ca="1">SUM(L103:L117)</f>
        <v>0</v>
      </c>
      <c r="M118" s="255">
        <f ca="1">SUM(M103:M117)</f>
        <v>27909.818181818184</v>
      </c>
      <c r="N118" s="258">
        <f ca="1">SUM(N103:N117)</f>
        <v>0</v>
      </c>
      <c r="O118" s="258">
        <f ca="1">SUM(O103:O117)</f>
        <v>186.06545454545454</v>
      </c>
      <c r="P118" s="156"/>
    </row>
    <row r="119" spans="3:16">
      <c r="I119" s="23"/>
      <c r="K119" s="23"/>
      <c r="L119" s="23"/>
      <c r="M119" s="23"/>
      <c r="N119" s="23"/>
      <c r="O119" s="23"/>
    </row>
    <row r="120" spans="3:16">
      <c r="C120" s="153" t="str">
        <f>FLU_LU!$D$279</f>
        <v>Allowances</v>
      </c>
      <c r="I120" s="23"/>
      <c r="K120" s="23"/>
      <c r="L120" s="23"/>
      <c r="M120" s="23"/>
      <c r="N120" s="23"/>
      <c r="O120" s="23"/>
    </row>
    <row r="121" spans="3:16" ht="28.8" outlineLevel="1">
      <c r="D121" s="733" t="s">
        <v>100</v>
      </c>
      <c r="E121" s="733"/>
      <c r="F121" s="733"/>
      <c r="G121" s="733"/>
      <c r="H121" s="730" t="s">
        <v>274</v>
      </c>
      <c r="I121" s="730"/>
      <c r="J121" s="152" t="s">
        <v>67</v>
      </c>
      <c r="K121" s="23"/>
      <c r="L121" s="28" t="str">
        <f>"Financial Price ("&amp;FLU_LU!$D$79&amp;")"</f>
        <v>Financial Price (GOZ)</v>
      </c>
      <c r="M121" s="28" t="str">
        <f>"Economic Price ("&amp;FLU_LU!$D$79&amp;")"</f>
        <v>Economic Price (GOZ)</v>
      </c>
      <c r="N121" s="28" t="str">
        <f>"Financial Price ("&amp;FLU_LU!$D$78&amp;")"</f>
        <v>Financial Price (USD)</v>
      </c>
      <c r="O121" s="28" t="str">
        <f>"Economic Price ("&amp;FLU_LU!$D$78&amp;")"</f>
        <v>Economic Price (USD)</v>
      </c>
      <c r="P121" s="152" t="s">
        <v>68</v>
      </c>
    </row>
    <row r="122" spans="3:16" s="23" customFormat="1" outlineLevel="1">
      <c r="D122" s="746">
        <v>2</v>
      </c>
      <c r="E122" s="747"/>
      <c r="F122" s="747"/>
      <c r="G122" s="748"/>
      <c r="H122" s="667"/>
      <c r="I122" s="667"/>
      <c r="J122" s="64">
        <v>5</v>
      </c>
      <c r="L122" s="162">
        <f ca="1">OFFSET(Cost_Ingredients!$N$103,$D122,0)*$J122</f>
        <v>27500</v>
      </c>
      <c r="M122" s="162">
        <f ca="1">OFFSET(Cost_Ingredients!$O$103,$D122,0)*$J122</f>
        <v>27500</v>
      </c>
      <c r="N122" s="163">
        <f ca="1">L122/Cost_Ingredients!$J$21</f>
        <v>183.33333333333334</v>
      </c>
      <c r="O122" s="163">
        <f ca="1">M122/Cost_Ingredients!$J$21</f>
        <v>183.33333333333334</v>
      </c>
      <c r="P122" s="151"/>
    </row>
    <row r="123" spans="3:16" s="23" customFormat="1" outlineLevel="1">
      <c r="D123" s="746">
        <v>1</v>
      </c>
      <c r="E123" s="747"/>
      <c r="F123" s="747"/>
      <c r="G123" s="748"/>
      <c r="H123" s="667"/>
      <c r="I123" s="667"/>
      <c r="J123" s="64"/>
      <c r="L123" s="162">
        <f ca="1">OFFSET(Cost_Ingredients!$N$103,$D123,0)*$J123</f>
        <v>0</v>
      </c>
      <c r="M123" s="162">
        <f ca="1">OFFSET(Cost_Ingredients!$O$103,$D123,0)*$J123</f>
        <v>0</v>
      </c>
      <c r="N123" s="163">
        <f ca="1">L123/Cost_Ingredients!$J$21</f>
        <v>0</v>
      </c>
      <c r="O123" s="163">
        <f ca="1">M123/Cost_Ingredients!$J$21</f>
        <v>0</v>
      </c>
      <c r="P123" s="151"/>
    </row>
    <row r="124" spans="3:16" s="23" customFormat="1" outlineLevel="1">
      <c r="D124" s="746">
        <v>1</v>
      </c>
      <c r="E124" s="747"/>
      <c r="F124" s="747"/>
      <c r="G124" s="748"/>
      <c r="H124" s="667"/>
      <c r="I124" s="667"/>
      <c r="J124" s="64"/>
      <c r="L124" s="162">
        <f ca="1">OFFSET(Cost_Ingredients!$N$103,$D124,0)*$J124</f>
        <v>0</v>
      </c>
      <c r="M124" s="162">
        <f ca="1">OFFSET(Cost_Ingredients!$O$103,$D124,0)*$J124</f>
        <v>0</v>
      </c>
      <c r="N124" s="163">
        <f ca="1">L124/Cost_Ingredients!$J$21</f>
        <v>0</v>
      </c>
      <c r="O124" s="163">
        <f ca="1">M124/Cost_Ingredients!$J$21</f>
        <v>0</v>
      </c>
      <c r="P124" s="151"/>
    </row>
    <row r="125" spans="3:16" s="23" customFormat="1" outlineLevel="1">
      <c r="D125" s="746">
        <v>1</v>
      </c>
      <c r="E125" s="747"/>
      <c r="F125" s="747"/>
      <c r="G125" s="748"/>
      <c r="H125" s="667"/>
      <c r="I125" s="667"/>
      <c r="J125" s="64"/>
      <c r="L125" s="162">
        <f ca="1">OFFSET(Cost_Ingredients!$N$103,$D125,0)*$J125</f>
        <v>0</v>
      </c>
      <c r="M125" s="162">
        <f ca="1">OFFSET(Cost_Ingredients!$O$103,$D125,0)*$J125</f>
        <v>0</v>
      </c>
      <c r="N125" s="163">
        <f ca="1">L125/Cost_Ingredients!$J$21</f>
        <v>0</v>
      </c>
      <c r="O125" s="163">
        <f ca="1">M125/Cost_Ingredients!$J$21</f>
        <v>0</v>
      </c>
      <c r="P125" s="151"/>
    </row>
    <row r="126" spans="3:16" s="23" customFormat="1" outlineLevel="1">
      <c r="D126" s="746">
        <v>1</v>
      </c>
      <c r="E126" s="747"/>
      <c r="F126" s="747"/>
      <c r="G126" s="748"/>
      <c r="H126" s="667"/>
      <c r="I126" s="667"/>
      <c r="J126" s="64"/>
      <c r="L126" s="162">
        <f ca="1">OFFSET(Cost_Ingredients!$N$103,$D126,0)*$J126</f>
        <v>0</v>
      </c>
      <c r="M126" s="162">
        <f ca="1">OFFSET(Cost_Ingredients!$O$103,$D126,0)*$J126</f>
        <v>0</v>
      </c>
      <c r="N126" s="163">
        <f ca="1">L126/Cost_Ingredients!$J$21</f>
        <v>0</v>
      </c>
      <c r="O126" s="163">
        <f ca="1">M126/Cost_Ingredients!$J$21</f>
        <v>0</v>
      </c>
      <c r="P126" s="151"/>
    </row>
    <row r="127" spans="3:16" s="23" customFormat="1" outlineLevel="1">
      <c r="D127" s="746">
        <v>1</v>
      </c>
      <c r="E127" s="747"/>
      <c r="F127" s="747"/>
      <c r="G127" s="748"/>
      <c r="H127" s="667"/>
      <c r="I127" s="667"/>
      <c r="J127" s="64"/>
      <c r="L127" s="162">
        <f ca="1">OFFSET(Cost_Ingredients!$N$103,$D127,0)*$J127</f>
        <v>0</v>
      </c>
      <c r="M127" s="162">
        <f ca="1">OFFSET(Cost_Ingredients!$O$103,$D127,0)*$J127</f>
        <v>0</v>
      </c>
      <c r="N127" s="163">
        <f ca="1">L127/Cost_Ingredients!$J$21</f>
        <v>0</v>
      </c>
      <c r="O127" s="163">
        <f ca="1">M127/Cost_Ingredients!$J$21</f>
        <v>0</v>
      </c>
      <c r="P127" s="151"/>
    </row>
    <row r="128" spans="3:16" s="23" customFormat="1" outlineLevel="1">
      <c r="D128" s="746">
        <v>1</v>
      </c>
      <c r="E128" s="747"/>
      <c r="F128" s="747"/>
      <c r="G128" s="748"/>
      <c r="H128" s="667"/>
      <c r="I128" s="667"/>
      <c r="J128" s="64"/>
      <c r="L128" s="162">
        <f ca="1">OFFSET(Cost_Ingredients!$N$103,$D128,0)*$J128</f>
        <v>0</v>
      </c>
      <c r="M128" s="162">
        <f ca="1">OFFSET(Cost_Ingredients!$O$103,$D128,0)*$J128</f>
        <v>0</v>
      </c>
      <c r="N128" s="163">
        <f ca="1">L128/Cost_Ingredients!$J$21</f>
        <v>0</v>
      </c>
      <c r="O128" s="163">
        <f ca="1">M128/Cost_Ingredients!$J$21</f>
        <v>0</v>
      </c>
      <c r="P128" s="151"/>
    </row>
    <row r="129" spans="3:16" s="23" customFormat="1" outlineLevel="1">
      <c r="D129" s="746">
        <v>1</v>
      </c>
      <c r="E129" s="747"/>
      <c r="F129" s="747"/>
      <c r="G129" s="748"/>
      <c r="H129" s="667"/>
      <c r="I129" s="667"/>
      <c r="J129" s="64"/>
      <c r="L129" s="162">
        <f ca="1">OFFSET(Cost_Ingredients!$N$103,$D129,0)*$J129</f>
        <v>0</v>
      </c>
      <c r="M129" s="162">
        <f ca="1">OFFSET(Cost_Ingredients!$O$103,$D129,0)*$J129</f>
        <v>0</v>
      </c>
      <c r="N129" s="163">
        <f ca="1">L129/Cost_Ingredients!$J$21</f>
        <v>0</v>
      </c>
      <c r="O129" s="163">
        <f ca="1">M129/Cost_Ingredients!$J$21</f>
        <v>0</v>
      </c>
      <c r="P129" s="151"/>
    </row>
    <row r="130" spans="3:16" s="23" customFormat="1" outlineLevel="1">
      <c r="D130" s="746">
        <v>1</v>
      </c>
      <c r="E130" s="747"/>
      <c r="F130" s="747"/>
      <c r="G130" s="748"/>
      <c r="H130" s="667"/>
      <c r="I130" s="667"/>
      <c r="J130" s="64"/>
      <c r="L130" s="162">
        <f ca="1">OFFSET(Cost_Ingredients!$N$103,$D130,0)*$J130</f>
        <v>0</v>
      </c>
      <c r="M130" s="162">
        <f ca="1">OFFSET(Cost_Ingredients!$O$103,$D130,0)*$J130</f>
        <v>0</v>
      </c>
      <c r="N130" s="163">
        <f ca="1">L130/Cost_Ingredients!$J$21</f>
        <v>0</v>
      </c>
      <c r="O130" s="163">
        <f ca="1">M130/Cost_Ingredients!$J$21</f>
        <v>0</v>
      </c>
      <c r="P130" s="151"/>
    </row>
    <row r="131" spans="3:16" s="23" customFormat="1" outlineLevel="1">
      <c r="D131" s="746">
        <v>1</v>
      </c>
      <c r="E131" s="747"/>
      <c r="F131" s="747"/>
      <c r="G131" s="748"/>
      <c r="H131" s="667"/>
      <c r="I131" s="667"/>
      <c r="J131" s="64"/>
      <c r="L131" s="162">
        <f ca="1">OFFSET(Cost_Ingredients!$N$103,$D131,0)*$J131</f>
        <v>0</v>
      </c>
      <c r="M131" s="162">
        <f ca="1">OFFSET(Cost_Ingredients!$O$103,$D131,0)*$J131</f>
        <v>0</v>
      </c>
      <c r="N131" s="163">
        <f ca="1">L131/Cost_Ingredients!$J$21</f>
        <v>0</v>
      </c>
      <c r="O131" s="163">
        <f ca="1">M131/Cost_Ingredients!$J$21</f>
        <v>0</v>
      </c>
      <c r="P131" s="151"/>
    </row>
    <row r="132" spans="3:16" s="23" customFormat="1" outlineLevel="1">
      <c r="D132" s="746">
        <v>1</v>
      </c>
      <c r="E132" s="747"/>
      <c r="F132" s="747"/>
      <c r="G132" s="748"/>
      <c r="H132" s="667"/>
      <c r="I132" s="667"/>
      <c r="J132" s="64"/>
      <c r="L132" s="162">
        <f ca="1">OFFSET(Cost_Ingredients!$N$103,$D132,0)*$J132</f>
        <v>0</v>
      </c>
      <c r="M132" s="162">
        <f ca="1">OFFSET(Cost_Ingredients!$O$103,$D132,0)*$J132</f>
        <v>0</v>
      </c>
      <c r="N132" s="163">
        <f ca="1">L132/Cost_Ingredients!$J$21</f>
        <v>0</v>
      </c>
      <c r="O132" s="163">
        <f ca="1">M132/Cost_Ingredients!$J$21</f>
        <v>0</v>
      </c>
      <c r="P132" s="151"/>
    </row>
    <row r="133" spans="3:16" s="23" customFormat="1" outlineLevel="1">
      <c r="D133" s="746">
        <v>1</v>
      </c>
      <c r="E133" s="747"/>
      <c r="F133" s="747"/>
      <c r="G133" s="748"/>
      <c r="H133" s="667"/>
      <c r="I133" s="667"/>
      <c r="J133" s="64"/>
      <c r="L133" s="162">
        <f ca="1">OFFSET(Cost_Ingredients!$N$103,$D133,0)*$J133</f>
        <v>0</v>
      </c>
      <c r="M133" s="162">
        <f ca="1">OFFSET(Cost_Ingredients!$O$103,$D133,0)*$J133</f>
        <v>0</v>
      </c>
      <c r="N133" s="163">
        <f ca="1">L133/Cost_Ingredients!$J$21</f>
        <v>0</v>
      </c>
      <c r="O133" s="163">
        <f ca="1">M133/Cost_Ingredients!$J$21</f>
        <v>0</v>
      </c>
      <c r="P133" s="151"/>
    </row>
    <row r="134" spans="3:16" s="23" customFormat="1" outlineLevel="1">
      <c r="D134" s="746">
        <v>1</v>
      </c>
      <c r="E134" s="747"/>
      <c r="F134" s="747"/>
      <c r="G134" s="748"/>
      <c r="H134" s="667"/>
      <c r="I134" s="667"/>
      <c r="J134" s="64"/>
      <c r="L134" s="162">
        <f ca="1">OFFSET(Cost_Ingredients!$N$103,$D134,0)*$J134</f>
        <v>0</v>
      </c>
      <c r="M134" s="162">
        <f ca="1">OFFSET(Cost_Ingredients!$O$103,$D134,0)*$J134</f>
        <v>0</v>
      </c>
      <c r="N134" s="163">
        <f ca="1">L134/Cost_Ingredients!$J$21</f>
        <v>0</v>
      </c>
      <c r="O134" s="163">
        <f ca="1">M134/Cost_Ingredients!$J$21</f>
        <v>0</v>
      </c>
      <c r="P134" s="151"/>
    </row>
    <row r="135" spans="3:16" s="23" customFormat="1" outlineLevel="1">
      <c r="D135" s="746">
        <v>1</v>
      </c>
      <c r="E135" s="747"/>
      <c r="F135" s="747"/>
      <c r="G135" s="748"/>
      <c r="H135" s="667"/>
      <c r="I135" s="667"/>
      <c r="J135" s="64"/>
      <c r="L135" s="162">
        <f ca="1">OFFSET(Cost_Ingredients!$N$103,$D135,0)*$J135</f>
        <v>0</v>
      </c>
      <c r="M135" s="162">
        <f ca="1">OFFSET(Cost_Ingredients!$O$103,$D135,0)*$J135</f>
        <v>0</v>
      </c>
      <c r="N135" s="163">
        <f ca="1">L135/Cost_Ingredients!$J$21</f>
        <v>0</v>
      </c>
      <c r="O135" s="163">
        <f ca="1">M135/Cost_Ingredients!$J$21</f>
        <v>0</v>
      </c>
      <c r="P135" s="151"/>
    </row>
    <row r="136" spans="3:16" s="23" customFormat="1" outlineLevel="1">
      <c r="D136" s="746">
        <v>1</v>
      </c>
      <c r="E136" s="747"/>
      <c r="F136" s="747"/>
      <c r="G136" s="748"/>
      <c r="H136" s="745"/>
      <c r="I136" s="745"/>
      <c r="J136" s="173">
        <v>0</v>
      </c>
      <c r="L136" s="162">
        <f ca="1">OFFSET(Cost_Ingredients!$N$103,$D136,0)*$J136</f>
        <v>0</v>
      </c>
      <c r="M136" s="162">
        <f ca="1">OFFSET(Cost_Ingredients!$O$103,$D136,0)*$J136</f>
        <v>0</v>
      </c>
      <c r="N136" s="163">
        <f ca="1">L136/Cost_Ingredients!$J$21</f>
        <v>0</v>
      </c>
      <c r="O136" s="163">
        <f ca="1">M136/Cost_Ingredients!$J$21</f>
        <v>0</v>
      </c>
      <c r="P136" s="172"/>
    </row>
    <row r="137" spans="3:16" s="23" customFormat="1">
      <c r="D137" s="754" t="str">
        <f>"Subtotal - "&amp;C120</f>
        <v>Subtotal - Allowances</v>
      </c>
      <c r="E137" s="755"/>
      <c r="F137" s="755"/>
      <c r="G137" s="755"/>
      <c r="H137" s="156"/>
      <c r="I137" s="156"/>
      <c r="J137" s="69"/>
      <c r="L137" s="255">
        <f ca="1">SUM(L122:L136)</f>
        <v>27500</v>
      </c>
      <c r="M137" s="255">
        <f ca="1">SUM(M122:M136)</f>
        <v>27500</v>
      </c>
      <c r="N137" s="258">
        <f ca="1">SUM(N122:N136)</f>
        <v>183.33333333333334</v>
      </c>
      <c r="O137" s="258">
        <f ca="1">SUM(O122:O136)</f>
        <v>183.33333333333334</v>
      </c>
      <c r="P137" s="156"/>
    </row>
    <row r="138" spans="3:16">
      <c r="I138" s="23"/>
      <c r="K138" s="23"/>
      <c r="L138" s="23"/>
      <c r="M138" s="23"/>
      <c r="N138" s="23"/>
      <c r="O138" s="23"/>
    </row>
    <row r="139" spans="3:16">
      <c r="C139" s="153" t="str">
        <f>FLU_LU!$D$280</f>
        <v>Supplies &amp; Materials</v>
      </c>
      <c r="I139" s="23"/>
      <c r="K139" s="23"/>
      <c r="L139" s="23"/>
      <c r="M139" s="23"/>
      <c r="N139" s="23"/>
      <c r="O139" s="23"/>
    </row>
    <row r="140" spans="3:16" ht="14.4" customHeight="1" outlineLevel="1">
      <c r="D140" s="733" t="s">
        <v>100</v>
      </c>
      <c r="E140" s="733"/>
      <c r="F140" s="733"/>
      <c r="G140" s="733"/>
      <c r="H140" s="142" t="s">
        <v>274</v>
      </c>
      <c r="I140" s="72" t="s">
        <v>275</v>
      </c>
      <c r="J140" s="152" t="s">
        <v>67</v>
      </c>
      <c r="K140" s="23"/>
      <c r="L140" s="28" t="str">
        <f>"Financial Price ("&amp;FLU_LU!$D$79&amp;")"</f>
        <v>Financial Price (GOZ)</v>
      </c>
      <c r="M140" s="28" t="str">
        <f>"Economic Price ("&amp;FLU_LU!$D$79&amp;")"</f>
        <v>Economic Price (GOZ)</v>
      </c>
      <c r="N140" s="28" t="str">
        <f>"Financial Price ("&amp;FLU_LU!$D$78&amp;")"</f>
        <v>Financial Price (USD)</v>
      </c>
      <c r="O140" s="28" t="str">
        <f>"Economic Price ("&amp;FLU_LU!$D$78&amp;")"</f>
        <v>Economic Price (USD)</v>
      </c>
      <c r="P140" s="152" t="s">
        <v>68</v>
      </c>
    </row>
    <row r="141" spans="3:16" s="23" customFormat="1" ht="14.4" customHeight="1" outlineLevel="1">
      <c r="D141" s="746">
        <v>1</v>
      </c>
      <c r="E141" s="747"/>
      <c r="F141" s="747"/>
      <c r="G141" s="748"/>
      <c r="H141" s="151"/>
      <c r="I141" s="159">
        <f ca="1">OFFSET(Cost_Ingredients!$M$117,$D141,0)</f>
        <v>0</v>
      </c>
      <c r="J141" s="64">
        <v>1</v>
      </c>
      <c r="L141" s="162">
        <f ca="1">OFFSET(Cost_Ingredients!$N$117,$D141,0)*$J141</f>
        <v>0</v>
      </c>
      <c r="M141" s="162">
        <f ca="1">OFFSET(Cost_Ingredients!$O$117,$D141,0)*$J141</f>
        <v>0</v>
      </c>
      <c r="N141" s="163">
        <f ca="1">L141/Cost_Ingredients!$J$21</f>
        <v>0</v>
      </c>
      <c r="O141" s="163">
        <f ca="1">M141/Cost_Ingredients!$J$21</f>
        <v>0</v>
      </c>
      <c r="P141" s="151"/>
    </row>
    <row r="142" spans="3:16" s="23" customFormat="1" ht="14.4" customHeight="1" outlineLevel="1">
      <c r="D142" s="746">
        <v>3</v>
      </c>
      <c r="E142" s="747"/>
      <c r="F142" s="747"/>
      <c r="G142" s="748"/>
      <c r="H142" s="151"/>
      <c r="I142" s="159" t="str">
        <f ca="1">OFFSET(Cost_Ingredients!$M$117,$D142,0)</f>
        <v>pz</v>
      </c>
      <c r="J142" s="64">
        <v>1</v>
      </c>
      <c r="L142" s="162">
        <f ca="1">OFFSET(Cost_Ingredients!$N$117,$D142,0)*$J142</f>
        <v>1</v>
      </c>
      <c r="M142" s="162">
        <f ca="1">OFFSET(Cost_Ingredients!$O$117,$D142,0)*$J142</f>
        <v>6</v>
      </c>
      <c r="N142" s="163">
        <f ca="1">L142/Cost_Ingredients!$J$21</f>
        <v>6.6666666666666671E-3</v>
      </c>
      <c r="O142" s="163">
        <f ca="1">M142/Cost_Ingredients!$J$21</f>
        <v>0.04</v>
      </c>
      <c r="P142" s="151"/>
    </row>
    <row r="143" spans="3:16" s="23" customFormat="1" ht="14.4" customHeight="1" outlineLevel="1">
      <c r="D143" s="746">
        <v>1</v>
      </c>
      <c r="E143" s="747"/>
      <c r="F143" s="747"/>
      <c r="G143" s="748"/>
      <c r="H143" s="151"/>
      <c r="I143" s="159">
        <f ca="1">OFFSET(Cost_Ingredients!$M$117,$D143,0)</f>
        <v>0</v>
      </c>
      <c r="J143" s="64"/>
      <c r="L143" s="162">
        <f ca="1">OFFSET(Cost_Ingredients!$N$117,$D143,0)*$J143</f>
        <v>0</v>
      </c>
      <c r="M143" s="162">
        <f ca="1">OFFSET(Cost_Ingredients!$O$117,$D143,0)*$J143</f>
        <v>0</v>
      </c>
      <c r="N143" s="163">
        <f ca="1">L143/Cost_Ingredients!$J$21</f>
        <v>0</v>
      </c>
      <c r="O143" s="163">
        <f ca="1">M143/Cost_Ingredients!$J$21</f>
        <v>0</v>
      </c>
      <c r="P143" s="151"/>
    </row>
    <row r="144" spans="3:16" s="23" customFormat="1" ht="14.4" customHeight="1" outlineLevel="1">
      <c r="D144" s="746">
        <v>1</v>
      </c>
      <c r="E144" s="747"/>
      <c r="F144" s="747"/>
      <c r="G144" s="748"/>
      <c r="H144" s="151"/>
      <c r="I144" s="159">
        <f ca="1">OFFSET(Cost_Ingredients!$M$117,$D144,0)</f>
        <v>0</v>
      </c>
      <c r="J144" s="64"/>
      <c r="L144" s="162">
        <f ca="1">OFFSET(Cost_Ingredients!$N$117,$D144,0)*$J144</f>
        <v>0</v>
      </c>
      <c r="M144" s="162">
        <f ca="1">OFFSET(Cost_Ingredients!$O$117,$D144,0)*$J144</f>
        <v>0</v>
      </c>
      <c r="N144" s="163">
        <f ca="1">L144/Cost_Ingredients!$J$21</f>
        <v>0</v>
      </c>
      <c r="O144" s="163">
        <f ca="1">M144/Cost_Ingredients!$J$21</f>
        <v>0</v>
      </c>
      <c r="P144" s="151"/>
    </row>
    <row r="145" spans="3:16" s="23" customFormat="1" ht="14.4" customHeight="1" outlineLevel="1">
      <c r="D145" s="746">
        <v>1</v>
      </c>
      <c r="E145" s="747"/>
      <c r="F145" s="747"/>
      <c r="G145" s="748"/>
      <c r="H145" s="151"/>
      <c r="I145" s="159">
        <f ca="1">OFFSET(Cost_Ingredients!$M$117,$D145,0)</f>
        <v>0</v>
      </c>
      <c r="J145" s="64"/>
      <c r="L145" s="162">
        <f ca="1">OFFSET(Cost_Ingredients!$N$117,$D145,0)*$J145</f>
        <v>0</v>
      </c>
      <c r="M145" s="162">
        <f ca="1">OFFSET(Cost_Ingredients!$O$117,$D145,0)*$J145</f>
        <v>0</v>
      </c>
      <c r="N145" s="163">
        <f ca="1">L145/Cost_Ingredients!$J$21</f>
        <v>0</v>
      </c>
      <c r="O145" s="163">
        <f ca="1">M145/Cost_Ingredients!$J$21</f>
        <v>0</v>
      </c>
      <c r="P145" s="151"/>
    </row>
    <row r="146" spans="3:16" s="23" customFormat="1" ht="14.4" customHeight="1" outlineLevel="1">
      <c r="D146" s="746">
        <v>1</v>
      </c>
      <c r="E146" s="747"/>
      <c r="F146" s="747"/>
      <c r="G146" s="748"/>
      <c r="H146" s="151"/>
      <c r="I146" s="159">
        <f ca="1">OFFSET(Cost_Ingredients!$M$117,$D146,0)</f>
        <v>0</v>
      </c>
      <c r="J146" s="64">
        <v>0</v>
      </c>
      <c r="L146" s="162">
        <f ca="1">OFFSET(Cost_Ingredients!$N$117,$D146,0)*$J146</f>
        <v>0</v>
      </c>
      <c r="M146" s="162">
        <f ca="1">OFFSET(Cost_Ingredients!$O$117,$D146,0)*$J146</f>
        <v>0</v>
      </c>
      <c r="N146" s="163">
        <f ca="1">L146/Cost_Ingredients!$J$21</f>
        <v>0</v>
      </c>
      <c r="O146" s="163">
        <f ca="1">M146/Cost_Ingredients!$J$21</f>
        <v>0</v>
      </c>
      <c r="P146" s="151"/>
    </row>
    <row r="147" spans="3:16" s="23" customFormat="1" ht="14.4" customHeight="1" outlineLevel="1">
      <c r="D147" s="746">
        <v>1</v>
      </c>
      <c r="E147" s="747"/>
      <c r="F147" s="747"/>
      <c r="G147" s="748"/>
      <c r="H147" s="151"/>
      <c r="I147" s="159">
        <f ca="1">OFFSET(Cost_Ingredients!$M$117,$D147,0)</f>
        <v>0</v>
      </c>
      <c r="J147" s="64">
        <v>0</v>
      </c>
      <c r="L147" s="162">
        <f ca="1">OFFSET(Cost_Ingredients!$N$117,$D147,0)*$J147</f>
        <v>0</v>
      </c>
      <c r="M147" s="162">
        <f ca="1">OFFSET(Cost_Ingredients!$O$117,$D147,0)*$J147</f>
        <v>0</v>
      </c>
      <c r="N147" s="163">
        <f ca="1">L147/Cost_Ingredients!$J$21</f>
        <v>0</v>
      </c>
      <c r="O147" s="163">
        <f ca="1">M147/Cost_Ingredients!$J$21</f>
        <v>0</v>
      </c>
      <c r="P147" s="151"/>
    </row>
    <row r="148" spans="3:16" s="23" customFormat="1" ht="14.4" customHeight="1" outlineLevel="1">
      <c r="D148" s="746">
        <v>1</v>
      </c>
      <c r="E148" s="747"/>
      <c r="F148" s="747"/>
      <c r="G148" s="748"/>
      <c r="H148" s="151"/>
      <c r="I148" s="159">
        <f ca="1">OFFSET(Cost_Ingredients!$M$117,$D148,0)</f>
        <v>0</v>
      </c>
      <c r="J148" s="64">
        <v>0</v>
      </c>
      <c r="L148" s="162">
        <f ca="1">OFFSET(Cost_Ingredients!$N$117,$D148,0)*$J148</f>
        <v>0</v>
      </c>
      <c r="M148" s="162">
        <f ca="1">OFFSET(Cost_Ingredients!$O$117,$D148,0)*$J148</f>
        <v>0</v>
      </c>
      <c r="N148" s="163">
        <f ca="1">L148/Cost_Ingredients!$J$21</f>
        <v>0</v>
      </c>
      <c r="O148" s="163">
        <f ca="1">M148/Cost_Ingredients!$J$21</f>
        <v>0</v>
      </c>
      <c r="P148" s="151"/>
    </row>
    <row r="149" spans="3:16" s="23" customFormat="1" ht="14.4" customHeight="1" outlineLevel="1">
      <c r="D149" s="746">
        <v>1</v>
      </c>
      <c r="E149" s="747"/>
      <c r="F149" s="747"/>
      <c r="G149" s="748"/>
      <c r="H149" s="151"/>
      <c r="I149" s="159">
        <f ca="1">OFFSET(Cost_Ingredients!$M$117,$D149,0)</f>
        <v>0</v>
      </c>
      <c r="J149" s="64">
        <v>0</v>
      </c>
      <c r="L149" s="162">
        <f ca="1">OFFSET(Cost_Ingredients!$N$117,$D149,0)*$J149</f>
        <v>0</v>
      </c>
      <c r="M149" s="162">
        <f ca="1">OFFSET(Cost_Ingredients!$O$117,$D149,0)*$J149</f>
        <v>0</v>
      </c>
      <c r="N149" s="163">
        <f ca="1">L149/Cost_Ingredients!$J$21</f>
        <v>0</v>
      </c>
      <c r="O149" s="163">
        <f ca="1">M149/Cost_Ingredients!$J$21</f>
        <v>0</v>
      </c>
      <c r="P149" s="151"/>
    </row>
    <row r="150" spans="3:16" s="23" customFormat="1" ht="14.4" customHeight="1" outlineLevel="1">
      <c r="D150" s="746">
        <v>1</v>
      </c>
      <c r="E150" s="747"/>
      <c r="F150" s="747"/>
      <c r="G150" s="748"/>
      <c r="H150" s="151"/>
      <c r="I150" s="159">
        <f ca="1">OFFSET(Cost_Ingredients!$M$117,$D150,0)</f>
        <v>0</v>
      </c>
      <c r="J150" s="64">
        <v>0</v>
      </c>
      <c r="L150" s="162">
        <f ca="1">OFFSET(Cost_Ingredients!$N$117,$D150,0)*$J150</f>
        <v>0</v>
      </c>
      <c r="M150" s="162">
        <f ca="1">OFFSET(Cost_Ingredients!$O$117,$D150,0)*$J150</f>
        <v>0</v>
      </c>
      <c r="N150" s="163">
        <f ca="1">L150/Cost_Ingredients!$J$21</f>
        <v>0</v>
      </c>
      <c r="O150" s="163">
        <f ca="1">M150/Cost_Ingredients!$J$21</f>
        <v>0</v>
      </c>
      <c r="P150" s="151"/>
    </row>
    <row r="151" spans="3:16" s="23" customFormat="1" ht="14.4" customHeight="1" outlineLevel="1">
      <c r="D151" s="746">
        <v>1</v>
      </c>
      <c r="E151" s="747"/>
      <c r="F151" s="747"/>
      <c r="G151" s="748"/>
      <c r="H151" s="151"/>
      <c r="I151" s="159">
        <f ca="1">OFFSET(Cost_Ingredients!$M$117,$D151,0)</f>
        <v>0</v>
      </c>
      <c r="J151" s="64">
        <v>0</v>
      </c>
      <c r="L151" s="162">
        <f ca="1">OFFSET(Cost_Ingredients!$N$117,$D151,0)*$J151</f>
        <v>0</v>
      </c>
      <c r="M151" s="162">
        <f ca="1">OFFSET(Cost_Ingredients!$O$117,$D151,0)*$J151</f>
        <v>0</v>
      </c>
      <c r="N151" s="163">
        <f ca="1">L151/Cost_Ingredients!$J$21</f>
        <v>0</v>
      </c>
      <c r="O151" s="163">
        <f ca="1">M151/Cost_Ingredients!$J$21</f>
        <v>0</v>
      </c>
      <c r="P151" s="151"/>
    </row>
    <row r="152" spans="3:16" s="23" customFormat="1" ht="14.4" customHeight="1" outlineLevel="1">
      <c r="D152" s="746">
        <v>1</v>
      </c>
      <c r="E152" s="747"/>
      <c r="F152" s="747"/>
      <c r="G152" s="748"/>
      <c r="H152" s="151"/>
      <c r="I152" s="159">
        <f ca="1">OFFSET(Cost_Ingredients!$M$117,$D152,0)</f>
        <v>0</v>
      </c>
      <c r="J152" s="64">
        <v>0</v>
      </c>
      <c r="L152" s="162">
        <f ca="1">OFFSET(Cost_Ingredients!$N$117,$D152,0)*$J152</f>
        <v>0</v>
      </c>
      <c r="M152" s="162">
        <f ca="1">OFFSET(Cost_Ingredients!$O$117,$D152,0)*$J152</f>
        <v>0</v>
      </c>
      <c r="N152" s="163">
        <f ca="1">L152/Cost_Ingredients!$J$21</f>
        <v>0</v>
      </c>
      <c r="O152" s="163">
        <f ca="1">M152/Cost_Ingredients!$J$21</f>
        <v>0</v>
      </c>
      <c r="P152" s="151"/>
    </row>
    <row r="153" spans="3:16" s="23" customFormat="1" ht="14.4" customHeight="1" outlineLevel="1">
      <c r="D153" s="746">
        <v>1</v>
      </c>
      <c r="E153" s="747"/>
      <c r="F153" s="747"/>
      <c r="G153" s="748"/>
      <c r="H153" s="151"/>
      <c r="I153" s="159">
        <f ca="1">OFFSET(Cost_Ingredients!$M$117,$D153,0)</f>
        <v>0</v>
      </c>
      <c r="J153" s="64">
        <v>0</v>
      </c>
      <c r="L153" s="162">
        <f ca="1">OFFSET(Cost_Ingredients!$N$117,$D153,0)*$J153</f>
        <v>0</v>
      </c>
      <c r="M153" s="162">
        <f ca="1">OFFSET(Cost_Ingredients!$O$117,$D153,0)*$J153</f>
        <v>0</v>
      </c>
      <c r="N153" s="163">
        <f ca="1">L153/Cost_Ingredients!$J$21</f>
        <v>0</v>
      </c>
      <c r="O153" s="163">
        <f ca="1">M153/Cost_Ingredients!$J$21</f>
        <v>0</v>
      </c>
      <c r="P153" s="151"/>
    </row>
    <row r="154" spans="3:16" s="23" customFormat="1" ht="14.4" customHeight="1" outlineLevel="1">
      <c r="D154" s="746">
        <v>1</v>
      </c>
      <c r="E154" s="747"/>
      <c r="F154" s="747"/>
      <c r="G154" s="748"/>
      <c r="H154" s="151"/>
      <c r="I154" s="159">
        <f ca="1">OFFSET(Cost_Ingredients!$M$117,$D154,0)</f>
        <v>0</v>
      </c>
      <c r="J154" s="64">
        <v>0</v>
      </c>
      <c r="L154" s="162">
        <f ca="1">OFFSET(Cost_Ingredients!$N$117,$D154,0)*$J154</f>
        <v>0</v>
      </c>
      <c r="M154" s="162">
        <f ca="1">OFFSET(Cost_Ingredients!$O$117,$D154,0)*$J154</f>
        <v>0</v>
      </c>
      <c r="N154" s="163">
        <f ca="1">L154/Cost_Ingredients!$J$21</f>
        <v>0</v>
      </c>
      <c r="O154" s="163">
        <f ca="1">M154/Cost_Ingredients!$J$21</f>
        <v>0</v>
      </c>
      <c r="P154" s="151"/>
    </row>
    <row r="155" spans="3:16" s="23" customFormat="1" outlineLevel="1">
      <c r="D155" s="746">
        <v>1</v>
      </c>
      <c r="E155" s="747"/>
      <c r="F155" s="747"/>
      <c r="G155" s="748"/>
      <c r="H155" s="172"/>
      <c r="I155" s="159">
        <f ca="1">OFFSET(Cost_Ingredients!$M$117,$D155,0)</f>
        <v>0</v>
      </c>
      <c r="J155" s="173">
        <v>0</v>
      </c>
      <c r="L155" s="162">
        <f ca="1">OFFSET(Cost_Ingredients!$N$117,$D155,0)*$J155</f>
        <v>0</v>
      </c>
      <c r="M155" s="162">
        <f ca="1">OFFSET(Cost_Ingredients!$O$117,$D155,0)*$J155</f>
        <v>0</v>
      </c>
      <c r="N155" s="163">
        <f ca="1">L155/Cost_Ingredients!$J$21</f>
        <v>0</v>
      </c>
      <c r="O155" s="163">
        <f ca="1">M155/Cost_Ingredients!$J$21</f>
        <v>0</v>
      </c>
      <c r="P155" s="172"/>
    </row>
    <row r="156" spans="3:16" s="23" customFormat="1">
      <c r="D156" s="754" t="str">
        <f>"Subtotal - "&amp;C139</f>
        <v>Subtotal - Supplies &amp; Materials</v>
      </c>
      <c r="E156" s="755"/>
      <c r="F156" s="755"/>
      <c r="G156" s="755"/>
      <c r="H156" s="156"/>
      <c r="I156" s="156"/>
      <c r="J156" s="69"/>
      <c r="L156" s="255">
        <f ca="1">SUM(L141:L155)</f>
        <v>1</v>
      </c>
      <c r="M156" s="255">
        <f ca="1">SUM(M141:M155)</f>
        <v>6</v>
      </c>
      <c r="N156" s="258">
        <f ca="1">SUM(N141:N155)</f>
        <v>6.6666666666666671E-3</v>
      </c>
      <c r="O156" s="258">
        <f ca="1">SUM(O141:O155)</f>
        <v>0.04</v>
      </c>
      <c r="P156" s="156"/>
    </row>
    <row r="157" spans="3:16">
      <c r="I157" s="23"/>
      <c r="K157" s="23"/>
      <c r="L157" s="23"/>
      <c r="M157" s="23"/>
      <c r="N157" s="23"/>
      <c r="O157" s="23"/>
    </row>
    <row r="158" spans="3:16">
      <c r="C158" s="153" t="str">
        <f>FLU_LU!$D$281</f>
        <v>Other Direct Costs (Recurrent)</v>
      </c>
      <c r="I158" s="23"/>
      <c r="K158" s="23"/>
      <c r="L158" s="23"/>
      <c r="M158" s="23"/>
      <c r="N158" s="23"/>
      <c r="O158" s="23"/>
    </row>
    <row r="159" spans="3:16" ht="28.8" outlineLevel="1">
      <c r="D159" s="733" t="s">
        <v>100</v>
      </c>
      <c r="E159" s="733"/>
      <c r="F159" s="733"/>
      <c r="G159" s="733"/>
      <c r="H159" s="142" t="s">
        <v>274</v>
      </c>
      <c r="I159" s="72" t="s">
        <v>275</v>
      </c>
      <c r="J159" s="152" t="s">
        <v>67</v>
      </c>
      <c r="K159" s="23"/>
      <c r="L159" s="28" t="str">
        <f>"Financial Price ("&amp;FLU_LU!$D$79&amp;")"</f>
        <v>Financial Price (GOZ)</v>
      </c>
      <c r="M159" s="28" t="str">
        <f>"Economic Price ("&amp;FLU_LU!$D$79&amp;")"</f>
        <v>Economic Price (GOZ)</v>
      </c>
      <c r="N159" s="28" t="str">
        <f>"Financial Price ("&amp;FLU_LU!$D$78&amp;")"</f>
        <v>Financial Price (USD)</v>
      </c>
      <c r="O159" s="28" t="str">
        <f>"Economic Price ("&amp;FLU_LU!$D$78&amp;")"</f>
        <v>Economic Price (USD)</v>
      </c>
      <c r="P159" s="152" t="s">
        <v>68</v>
      </c>
    </row>
    <row r="160" spans="3:16" s="23" customFormat="1" outlineLevel="1">
      <c r="D160" s="746">
        <v>2</v>
      </c>
      <c r="E160" s="747"/>
      <c r="F160" s="747"/>
      <c r="G160" s="748"/>
      <c r="H160" s="151"/>
      <c r="I160" s="159" t="str">
        <f ca="1">OFFSET(Cost_Ingredients!$M$146,$D160,0)</f>
        <v>litre</v>
      </c>
      <c r="J160" s="64">
        <v>5</v>
      </c>
      <c r="L160" s="162">
        <f ca="1">OFFSET(Cost_Ingredients!$N$146,$D160,0)*$J160</f>
        <v>850</v>
      </c>
      <c r="M160" s="162">
        <f ca="1">OFFSET(Cost_Ingredients!$O$146,$D160,0)*$J160</f>
        <v>850</v>
      </c>
      <c r="N160" s="163">
        <f ca="1">OFFSET(Cost_Ingredients!$P$146,$D160,0)*$J160</f>
        <v>5.6666666666666661</v>
      </c>
      <c r="O160" s="163">
        <f ca="1">OFFSET(Cost_Ingredients!$Q$146,$D160,0)*$J160</f>
        <v>5.6666666666666661</v>
      </c>
      <c r="P160" s="151"/>
    </row>
    <row r="161" spans="4:16" s="23" customFormat="1" outlineLevel="1">
      <c r="D161" s="746">
        <v>1</v>
      </c>
      <c r="E161" s="747"/>
      <c r="F161" s="747"/>
      <c r="G161" s="748"/>
      <c r="H161" s="151"/>
      <c r="I161" s="159">
        <f ca="1">OFFSET(Cost_Ingredients!$M$146,$D161,0)</f>
        <v>0</v>
      </c>
      <c r="J161" s="64">
        <v>0</v>
      </c>
      <c r="L161" s="162">
        <f ca="1">OFFSET(Cost_Ingredients!$N$146,$D161,0)*$J161</f>
        <v>0</v>
      </c>
      <c r="M161" s="162">
        <f ca="1">OFFSET(Cost_Ingredients!$O$146,$D161,0)*$J161</f>
        <v>0</v>
      </c>
      <c r="N161" s="163">
        <f ca="1">OFFSET(Cost_Ingredients!$P$146,$D161,0)*$J161</f>
        <v>0</v>
      </c>
      <c r="O161" s="163">
        <f ca="1">OFFSET(Cost_Ingredients!$Q$146,$D161,0)*$J161</f>
        <v>0</v>
      </c>
      <c r="P161" s="151"/>
    </row>
    <row r="162" spans="4:16" s="23" customFormat="1" outlineLevel="1">
      <c r="D162" s="746">
        <v>1</v>
      </c>
      <c r="E162" s="747"/>
      <c r="F162" s="747"/>
      <c r="G162" s="748"/>
      <c r="H162" s="151"/>
      <c r="I162" s="159">
        <f ca="1">OFFSET(Cost_Ingredients!$M$146,$D162,0)</f>
        <v>0</v>
      </c>
      <c r="J162" s="64">
        <v>0</v>
      </c>
      <c r="L162" s="162">
        <f ca="1">OFFSET(Cost_Ingredients!$N$146,$D162,0)*$J162</f>
        <v>0</v>
      </c>
      <c r="M162" s="162">
        <f ca="1">OFFSET(Cost_Ingredients!$O$146,$D162,0)*$J162</f>
        <v>0</v>
      </c>
      <c r="N162" s="163">
        <f ca="1">OFFSET(Cost_Ingredients!$P$146,$D162,0)*$J162</f>
        <v>0</v>
      </c>
      <c r="O162" s="163">
        <f ca="1">OFFSET(Cost_Ingredients!$Q$146,$D162,0)*$J162</f>
        <v>0</v>
      </c>
      <c r="P162" s="151"/>
    </row>
    <row r="163" spans="4:16" s="23" customFormat="1" outlineLevel="1">
      <c r="D163" s="746">
        <v>1</v>
      </c>
      <c r="E163" s="747"/>
      <c r="F163" s="747"/>
      <c r="G163" s="748"/>
      <c r="H163" s="151"/>
      <c r="I163" s="159">
        <f ca="1">OFFSET(Cost_Ingredients!$M$146,$D163,0)</f>
        <v>0</v>
      </c>
      <c r="J163" s="64">
        <v>0</v>
      </c>
      <c r="L163" s="162">
        <f ca="1">OFFSET(Cost_Ingredients!$N$146,$D163,0)*$J163</f>
        <v>0</v>
      </c>
      <c r="M163" s="162">
        <f ca="1">OFFSET(Cost_Ingredients!$O$146,$D163,0)*$J163</f>
        <v>0</v>
      </c>
      <c r="N163" s="163">
        <f ca="1">OFFSET(Cost_Ingredients!$P$146,$D163,0)*$J163</f>
        <v>0</v>
      </c>
      <c r="O163" s="163">
        <f ca="1">OFFSET(Cost_Ingredients!$Q$146,$D163,0)*$J163</f>
        <v>0</v>
      </c>
      <c r="P163" s="151"/>
    </row>
    <row r="164" spans="4:16" s="23" customFormat="1" outlineLevel="1">
      <c r="D164" s="746">
        <v>1</v>
      </c>
      <c r="E164" s="747"/>
      <c r="F164" s="747"/>
      <c r="G164" s="748"/>
      <c r="H164" s="151"/>
      <c r="I164" s="159">
        <f ca="1">OFFSET(Cost_Ingredients!$M$146,$D164,0)</f>
        <v>0</v>
      </c>
      <c r="J164" s="64">
        <v>0</v>
      </c>
      <c r="L164" s="162">
        <f ca="1">OFFSET(Cost_Ingredients!$N$146,$D164,0)*$J164</f>
        <v>0</v>
      </c>
      <c r="M164" s="162">
        <f ca="1">OFFSET(Cost_Ingredients!$O$146,$D164,0)*$J164</f>
        <v>0</v>
      </c>
      <c r="N164" s="163">
        <f ca="1">OFFSET(Cost_Ingredients!$P$146,$D164,0)*$J164</f>
        <v>0</v>
      </c>
      <c r="O164" s="163">
        <f ca="1">OFFSET(Cost_Ingredients!$Q$146,$D164,0)*$J164</f>
        <v>0</v>
      </c>
      <c r="P164" s="151"/>
    </row>
    <row r="165" spans="4:16" s="23" customFormat="1" outlineLevel="1">
      <c r="D165" s="746">
        <v>1</v>
      </c>
      <c r="E165" s="747"/>
      <c r="F165" s="747"/>
      <c r="G165" s="748"/>
      <c r="H165" s="151"/>
      <c r="I165" s="159">
        <f ca="1">OFFSET(Cost_Ingredients!$M$146,$D165,0)</f>
        <v>0</v>
      </c>
      <c r="J165" s="64">
        <v>0</v>
      </c>
      <c r="L165" s="162">
        <f ca="1">OFFSET(Cost_Ingredients!$N$146,$D165,0)*$J165</f>
        <v>0</v>
      </c>
      <c r="M165" s="162">
        <f ca="1">OFFSET(Cost_Ingredients!$O$146,$D165,0)*$J165</f>
        <v>0</v>
      </c>
      <c r="N165" s="163">
        <f ca="1">OFFSET(Cost_Ingredients!$P$146,$D165,0)*$J165</f>
        <v>0</v>
      </c>
      <c r="O165" s="163">
        <f ca="1">OFFSET(Cost_Ingredients!$Q$146,$D165,0)*$J165</f>
        <v>0</v>
      </c>
      <c r="P165" s="151"/>
    </row>
    <row r="166" spans="4:16" s="23" customFormat="1" outlineLevel="1">
      <c r="D166" s="746">
        <v>1</v>
      </c>
      <c r="E166" s="747"/>
      <c r="F166" s="747"/>
      <c r="G166" s="748"/>
      <c r="H166" s="151"/>
      <c r="I166" s="159">
        <f ca="1">OFFSET(Cost_Ingredients!$M$146,$D166,0)</f>
        <v>0</v>
      </c>
      <c r="J166" s="64">
        <v>0</v>
      </c>
      <c r="L166" s="162">
        <f ca="1">OFFSET(Cost_Ingredients!$N$146,$D166,0)*$J166</f>
        <v>0</v>
      </c>
      <c r="M166" s="162">
        <f ca="1">OFFSET(Cost_Ingredients!$O$146,$D166,0)*$J166</f>
        <v>0</v>
      </c>
      <c r="N166" s="163">
        <f ca="1">OFFSET(Cost_Ingredients!$P$146,$D166,0)*$J166</f>
        <v>0</v>
      </c>
      <c r="O166" s="163">
        <f ca="1">OFFSET(Cost_Ingredients!$Q$146,$D166,0)*$J166</f>
        <v>0</v>
      </c>
      <c r="P166" s="151"/>
    </row>
    <row r="167" spans="4:16" s="23" customFormat="1" outlineLevel="1">
      <c r="D167" s="746">
        <v>1</v>
      </c>
      <c r="E167" s="747"/>
      <c r="F167" s="747"/>
      <c r="G167" s="748"/>
      <c r="H167" s="151"/>
      <c r="I167" s="159">
        <f ca="1">OFFSET(Cost_Ingredients!$M$146,$D167,0)</f>
        <v>0</v>
      </c>
      <c r="J167" s="64">
        <v>0</v>
      </c>
      <c r="L167" s="162">
        <f ca="1">OFFSET(Cost_Ingredients!$N$146,$D167,0)*$J167</f>
        <v>0</v>
      </c>
      <c r="M167" s="162">
        <f ca="1">OFFSET(Cost_Ingredients!$O$146,$D167,0)*$J167</f>
        <v>0</v>
      </c>
      <c r="N167" s="163">
        <f ca="1">OFFSET(Cost_Ingredients!$P$146,$D167,0)*$J167</f>
        <v>0</v>
      </c>
      <c r="O167" s="163">
        <f ca="1">OFFSET(Cost_Ingredients!$Q$146,$D167,0)*$J167</f>
        <v>0</v>
      </c>
      <c r="P167" s="151"/>
    </row>
    <row r="168" spans="4:16" s="23" customFormat="1" outlineLevel="1">
      <c r="D168" s="746">
        <v>1</v>
      </c>
      <c r="E168" s="747"/>
      <c r="F168" s="747"/>
      <c r="G168" s="748"/>
      <c r="H168" s="151"/>
      <c r="I168" s="159">
        <f ca="1">OFFSET(Cost_Ingredients!$M$146,$D168,0)</f>
        <v>0</v>
      </c>
      <c r="J168" s="64">
        <v>0</v>
      </c>
      <c r="L168" s="162">
        <f ca="1">OFFSET(Cost_Ingredients!$N$146,$D168,0)*$J168</f>
        <v>0</v>
      </c>
      <c r="M168" s="162">
        <f ca="1">OFFSET(Cost_Ingredients!$O$146,$D168,0)*$J168</f>
        <v>0</v>
      </c>
      <c r="N168" s="163">
        <f ca="1">OFFSET(Cost_Ingredients!$P$146,$D168,0)*$J168</f>
        <v>0</v>
      </c>
      <c r="O168" s="163">
        <f ca="1">OFFSET(Cost_Ingredients!$Q$146,$D168,0)*$J168</f>
        <v>0</v>
      </c>
      <c r="P168" s="151"/>
    </row>
    <row r="169" spans="4:16" s="23" customFormat="1" outlineLevel="1">
      <c r="D169" s="746">
        <v>1</v>
      </c>
      <c r="E169" s="747"/>
      <c r="F169" s="747"/>
      <c r="G169" s="748"/>
      <c r="H169" s="151"/>
      <c r="I169" s="159">
        <f ca="1">OFFSET(Cost_Ingredients!$M$146,$D169,0)</f>
        <v>0</v>
      </c>
      <c r="J169" s="64">
        <v>0</v>
      </c>
      <c r="L169" s="162">
        <f ca="1">OFFSET(Cost_Ingredients!$N$146,$D169,0)*$J169</f>
        <v>0</v>
      </c>
      <c r="M169" s="162">
        <f ca="1">OFFSET(Cost_Ingredients!$O$146,$D169,0)*$J169</f>
        <v>0</v>
      </c>
      <c r="N169" s="163">
        <f ca="1">OFFSET(Cost_Ingredients!$P$146,$D169,0)*$J169</f>
        <v>0</v>
      </c>
      <c r="O169" s="163">
        <f ca="1">OFFSET(Cost_Ingredients!$Q$146,$D169,0)*$J169</f>
        <v>0</v>
      </c>
      <c r="P169" s="151"/>
    </row>
    <row r="170" spans="4:16" s="23" customFormat="1" outlineLevel="1">
      <c r="D170" s="746">
        <v>1</v>
      </c>
      <c r="E170" s="747"/>
      <c r="F170" s="747"/>
      <c r="G170" s="748"/>
      <c r="H170" s="151"/>
      <c r="I170" s="159">
        <f ca="1">OFFSET(Cost_Ingredients!$M$146,$D170,0)</f>
        <v>0</v>
      </c>
      <c r="J170" s="64">
        <v>0</v>
      </c>
      <c r="L170" s="162">
        <f ca="1">OFFSET(Cost_Ingredients!$N$146,$D170,0)*$J170</f>
        <v>0</v>
      </c>
      <c r="M170" s="162">
        <f ca="1">OFFSET(Cost_Ingredients!$O$146,$D170,0)*$J170</f>
        <v>0</v>
      </c>
      <c r="N170" s="163">
        <f ca="1">OFFSET(Cost_Ingredients!$P$146,$D170,0)*$J170</f>
        <v>0</v>
      </c>
      <c r="O170" s="163">
        <f ca="1">OFFSET(Cost_Ingredients!$Q$146,$D170,0)*$J170</f>
        <v>0</v>
      </c>
      <c r="P170" s="151"/>
    </row>
    <row r="171" spans="4:16" s="23" customFormat="1" outlineLevel="1">
      <c r="D171" s="746">
        <v>1</v>
      </c>
      <c r="E171" s="747"/>
      <c r="F171" s="747"/>
      <c r="G171" s="748"/>
      <c r="H171" s="151"/>
      <c r="I171" s="159">
        <f ca="1">OFFSET(Cost_Ingredients!$M$146,$D171,0)</f>
        <v>0</v>
      </c>
      <c r="J171" s="64">
        <v>0</v>
      </c>
      <c r="L171" s="162">
        <f ca="1">OFFSET(Cost_Ingredients!$N$146,$D171,0)*$J171</f>
        <v>0</v>
      </c>
      <c r="M171" s="162">
        <f ca="1">OFFSET(Cost_Ingredients!$O$146,$D171,0)*$J171</f>
        <v>0</v>
      </c>
      <c r="N171" s="163">
        <f ca="1">OFFSET(Cost_Ingredients!$P$146,$D171,0)*$J171</f>
        <v>0</v>
      </c>
      <c r="O171" s="163">
        <f ca="1">OFFSET(Cost_Ingredients!$Q$146,$D171,0)*$J171</f>
        <v>0</v>
      </c>
      <c r="P171" s="151"/>
    </row>
    <row r="172" spans="4:16" s="23" customFormat="1" outlineLevel="1">
      <c r="D172" s="746">
        <v>1</v>
      </c>
      <c r="E172" s="747"/>
      <c r="F172" s="747"/>
      <c r="G172" s="748"/>
      <c r="H172" s="151"/>
      <c r="I172" s="159">
        <f ca="1">OFFSET(Cost_Ingredients!$M$146,$D172,0)</f>
        <v>0</v>
      </c>
      <c r="J172" s="64">
        <v>0</v>
      </c>
      <c r="L172" s="162">
        <f ca="1">OFFSET(Cost_Ingredients!$N$146,$D172,0)*$J172</f>
        <v>0</v>
      </c>
      <c r="M172" s="162">
        <f ca="1">OFFSET(Cost_Ingredients!$O$146,$D172,0)*$J172</f>
        <v>0</v>
      </c>
      <c r="N172" s="163">
        <f ca="1">OFFSET(Cost_Ingredients!$P$146,$D172,0)*$J172</f>
        <v>0</v>
      </c>
      <c r="O172" s="163">
        <f ca="1">OFFSET(Cost_Ingredients!$Q$146,$D172,0)*$J172</f>
        <v>0</v>
      </c>
      <c r="P172" s="151"/>
    </row>
    <row r="173" spans="4:16" s="23" customFormat="1" outlineLevel="1">
      <c r="D173" s="746">
        <v>1</v>
      </c>
      <c r="E173" s="747"/>
      <c r="F173" s="747"/>
      <c r="G173" s="748"/>
      <c r="H173" s="151"/>
      <c r="I173" s="159">
        <f ca="1">OFFSET(Cost_Ingredients!$M$146,$D173,0)</f>
        <v>0</v>
      </c>
      <c r="J173" s="64">
        <v>0</v>
      </c>
      <c r="L173" s="162">
        <f ca="1">OFFSET(Cost_Ingredients!$N$146,$D173,0)*$J173</f>
        <v>0</v>
      </c>
      <c r="M173" s="162">
        <f ca="1">OFFSET(Cost_Ingredients!$O$146,$D173,0)*$J173</f>
        <v>0</v>
      </c>
      <c r="N173" s="163">
        <f ca="1">OFFSET(Cost_Ingredients!$P$146,$D173,0)*$J173</f>
        <v>0</v>
      </c>
      <c r="O173" s="163">
        <f ca="1">OFFSET(Cost_Ingredients!$Q$146,$D173,0)*$J173</f>
        <v>0</v>
      </c>
      <c r="P173" s="151"/>
    </row>
    <row r="174" spans="4:16" s="23" customFormat="1" outlineLevel="1">
      <c r="D174" s="746">
        <v>1</v>
      </c>
      <c r="E174" s="747"/>
      <c r="F174" s="747"/>
      <c r="G174" s="748"/>
      <c r="H174" s="172"/>
      <c r="I174" s="159">
        <f ca="1">OFFSET(Cost_Ingredients!$M$146,$D174,0)</f>
        <v>0</v>
      </c>
      <c r="J174" s="173">
        <v>0</v>
      </c>
      <c r="L174" s="162">
        <f ca="1">OFFSET(Cost_Ingredients!$N$146,$D174,0)*$J174</f>
        <v>0</v>
      </c>
      <c r="M174" s="162">
        <f ca="1">OFFSET(Cost_Ingredients!$O$146,$D174,0)*$J174</f>
        <v>0</v>
      </c>
      <c r="N174" s="163">
        <f ca="1">OFFSET(Cost_Ingredients!$P$146,$D174,0)*$J174</f>
        <v>0</v>
      </c>
      <c r="O174" s="163">
        <f ca="1">OFFSET(Cost_Ingredients!$Q$146,$D174,0)*$J174</f>
        <v>0</v>
      </c>
      <c r="P174" s="172"/>
    </row>
    <row r="175" spans="4:16" s="23" customFormat="1">
      <c r="D175" s="754" t="str">
        <f>"Subtotal - "&amp;C158</f>
        <v>Subtotal - Other Direct Costs (Recurrent)</v>
      </c>
      <c r="E175" s="755"/>
      <c r="F175" s="755"/>
      <c r="G175" s="755"/>
      <c r="H175" s="156"/>
      <c r="I175" s="156"/>
      <c r="J175" s="69"/>
      <c r="L175" s="255">
        <f ca="1">SUM(L160:L174)</f>
        <v>850</v>
      </c>
      <c r="M175" s="255">
        <f ca="1">SUM(M160:M174)</f>
        <v>850</v>
      </c>
      <c r="N175" s="258">
        <f ca="1">SUM(N160:N174)</f>
        <v>5.6666666666666661</v>
      </c>
      <c r="O175" s="258">
        <f ca="1">SUM(O160:O174)</f>
        <v>5.6666666666666661</v>
      </c>
      <c r="P175" s="156"/>
    </row>
    <row r="176" spans="4:16">
      <c r="I176" s="23"/>
      <c r="K176" s="23"/>
      <c r="L176" s="23"/>
      <c r="M176" s="23"/>
      <c r="N176" s="23"/>
      <c r="O176" s="23"/>
    </row>
    <row r="177" spans="2:16" ht="15" thickBot="1">
      <c r="C177" s="70" t="str">
        <f>B95&amp;" -Cost per Activity"</f>
        <v>Detailed Costing IPH meets w/ District Epidemiologists to Prepare for Flu Vaccination Activities -Cost per Activity</v>
      </c>
      <c r="I177" s="23"/>
      <c r="K177" s="23"/>
      <c r="L177" s="44">
        <f ca="1">SUM(L118,L137,L156,L175)</f>
        <v>28351</v>
      </c>
      <c r="M177" s="44">
        <f ca="1">SUM(M118,M137,M156,M175)</f>
        <v>56265.818181818184</v>
      </c>
      <c r="N177" s="74">
        <f ca="1">SUM(N118,N137,N156,N175)</f>
        <v>189.00666666666666</v>
      </c>
      <c r="O177" s="74">
        <f ca="1">SUM(O118,O137,O156,O175)</f>
        <v>375.10545454545456</v>
      </c>
    </row>
    <row r="178" spans="2:16" ht="15" thickTop="1">
      <c r="I178" s="23"/>
      <c r="K178" s="23"/>
      <c r="L178" s="23"/>
      <c r="M178" s="23"/>
      <c r="N178" s="23"/>
      <c r="O178" s="23"/>
    </row>
    <row r="179" spans="2:16">
      <c r="I179" s="23"/>
      <c r="K179" s="23"/>
      <c r="L179" s="23"/>
      <c r="M179" s="23"/>
      <c r="N179" s="23"/>
      <c r="O179" s="23"/>
    </row>
    <row r="180" spans="2:16" ht="17.399999999999999">
      <c r="B180" s="81" t="str">
        <f>"Detailed Costing "&amp;MICRO!E19</f>
        <v>Detailed Costing [Available for Additional Microplanning Activity]</v>
      </c>
      <c r="I180" s="23"/>
      <c r="K180" s="23"/>
      <c r="L180" s="23"/>
      <c r="M180" s="23"/>
      <c r="N180" s="23"/>
      <c r="O180" s="23"/>
    </row>
    <row r="181" spans="2:16">
      <c r="I181" s="23"/>
      <c r="K181" s="23"/>
      <c r="L181" s="23"/>
      <c r="M181" s="23"/>
      <c r="N181" s="23"/>
      <c r="O181" s="23"/>
    </row>
    <row r="182" spans="2:16">
      <c r="F182" s="152" t="s">
        <v>201</v>
      </c>
      <c r="H182" s="667" t="s">
        <v>280</v>
      </c>
      <c r="I182" s="667"/>
      <c r="J182" s="667"/>
      <c r="K182" s="667"/>
      <c r="L182" s="667"/>
      <c r="M182" s="667"/>
      <c r="N182" s="667"/>
      <c r="O182" s="667"/>
      <c r="P182" s="667"/>
    </row>
    <row r="183" spans="2:16">
      <c r="I183" s="23"/>
      <c r="K183" s="23"/>
      <c r="L183" s="23"/>
      <c r="M183" s="23"/>
      <c r="N183" s="23"/>
      <c r="O183" s="23"/>
    </row>
    <row r="184" spans="2:16">
      <c r="E184" s="152" t="s">
        <v>273</v>
      </c>
      <c r="I184" s="23"/>
      <c r="K184" s="23"/>
      <c r="L184" s="23"/>
      <c r="M184" s="23"/>
      <c r="N184" s="23"/>
      <c r="O184" s="23"/>
    </row>
    <row r="185" spans="2:16">
      <c r="I185" s="23"/>
      <c r="K185" s="23"/>
      <c r="L185" s="23"/>
      <c r="M185" s="23"/>
      <c r="N185" s="23"/>
      <c r="O185" s="23"/>
    </row>
    <row r="186" spans="2:16">
      <c r="C186" s="153" t="str">
        <f>FLU_LU!$D$278</f>
        <v xml:space="preserve">Personnel </v>
      </c>
      <c r="I186" s="23"/>
      <c r="K186" s="23"/>
      <c r="L186" s="23"/>
      <c r="M186" s="23"/>
      <c r="N186" s="23"/>
      <c r="O186" s="23"/>
    </row>
    <row r="187" spans="2:16" ht="43.2" outlineLevel="1">
      <c r="D187" s="733" t="s">
        <v>100</v>
      </c>
      <c r="E187" s="733"/>
      <c r="F187" s="733"/>
      <c r="G187" s="733"/>
      <c r="H187" s="142" t="s">
        <v>274</v>
      </c>
      <c r="I187" s="72" t="s">
        <v>474</v>
      </c>
      <c r="J187" s="152" t="s">
        <v>67</v>
      </c>
      <c r="K187" s="72" t="s">
        <v>475</v>
      </c>
      <c r="L187" s="28" t="str">
        <f>"Financial Price ("&amp;FLU_LU!$D$79&amp;")"</f>
        <v>Financial Price (GOZ)</v>
      </c>
      <c r="M187" s="28" t="str">
        <f>"Economic Price ("&amp;FLU_LU!$D$79&amp;")"</f>
        <v>Economic Price (GOZ)</v>
      </c>
      <c r="N187" s="28" t="str">
        <f>"Financial Price ("&amp;FLU_LU!$D$78&amp;")"</f>
        <v>Financial Price (USD)</v>
      </c>
      <c r="O187" s="28" t="str">
        <f>"Economic Price ("&amp;FLU_LU!$D$78&amp;")"</f>
        <v>Economic Price (USD)</v>
      </c>
      <c r="P187" s="152" t="s">
        <v>68</v>
      </c>
    </row>
    <row r="188" spans="2:16" s="23" customFormat="1" outlineLevel="1">
      <c r="D188" s="746">
        <v>10</v>
      </c>
      <c r="E188" s="746"/>
      <c r="F188" s="746"/>
      <c r="G188" s="749"/>
      <c r="H188" s="151" t="s">
        <v>276</v>
      </c>
      <c r="I188" s="31">
        <v>2</v>
      </c>
      <c r="J188" s="64">
        <v>24</v>
      </c>
      <c r="K188" s="135">
        <f t="shared" ref="K188:K202" si="1">IF(I188=1,J188/FLU_DAYS_PER_MONTH,IF(I188=2,J188/FLU_HOURS_PER_MONTH,J188/FLU_MINUTES_PER_MONTH))</f>
        <v>0.13636363636363635</v>
      </c>
      <c r="L188" s="162">
        <f ca="1">OFFSET(Cost_Ingredients!$N$73,DD_FLU_MICROC_PERSONNEL_1,0)*$K188</f>
        <v>0</v>
      </c>
      <c r="M188" s="162">
        <f ca="1">OFFSET(Cost_Ingredients!$O$73,DD_FLU_MICROC_PERSONNEL_1,0)*$K188</f>
        <v>10200.640909090907</v>
      </c>
      <c r="N188" s="179">
        <f ca="1">L188/Cost_Ingredients!$J$21</f>
        <v>0</v>
      </c>
      <c r="O188" s="179">
        <f ca="1">M188/Cost_Ingredients!$J$21</f>
        <v>68.004272727272721</v>
      </c>
      <c r="P188" s="151"/>
    </row>
    <row r="189" spans="2:16" s="23" customFormat="1" outlineLevel="1">
      <c r="D189" s="746">
        <v>1</v>
      </c>
      <c r="E189" s="746"/>
      <c r="F189" s="746"/>
      <c r="G189" s="749"/>
      <c r="H189" s="151" t="s">
        <v>353</v>
      </c>
      <c r="I189" s="31">
        <v>2</v>
      </c>
      <c r="J189" s="64">
        <v>24</v>
      </c>
      <c r="K189" s="135">
        <f t="shared" si="1"/>
        <v>0.13636363636363635</v>
      </c>
      <c r="L189" s="162">
        <f ca="1">OFFSET(Cost_Ingredients!$N$73,DD_FLU_MICROC_PERSONNEL_2,0)*$K189</f>
        <v>0</v>
      </c>
      <c r="M189" s="162">
        <f ca="1">OFFSET(Cost_Ingredients!$O$73,DD_FLU_MICROC_PERSONNEL_2,0)*$K189</f>
        <v>0</v>
      </c>
      <c r="N189" s="179">
        <f ca="1">L189/Cost_Ingredients!$J$21</f>
        <v>0</v>
      </c>
      <c r="O189" s="179">
        <f ca="1">M189/Cost_Ingredients!$J$21</f>
        <v>0</v>
      </c>
      <c r="P189" s="151"/>
    </row>
    <row r="190" spans="2:16" s="23" customFormat="1" outlineLevel="1">
      <c r="D190" s="746">
        <v>1</v>
      </c>
      <c r="E190" s="746"/>
      <c r="F190" s="746"/>
      <c r="G190" s="749"/>
      <c r="H190" s="151" t="s">
        <v>353</v>
      </c>
      <c r="I190" s="31">
        <v>1</v>
      </c>
      <c r="J190" s="64">
        <v>24</v>
      </c>
      <c r="K190" s="135">
        <f t="shared" si="1"/>
        <v>1.0909090909090908</v>
      </c>
      <c r="L190" s="162">
        <f ca="1">OFFSET(Cost_Ingredients!$N$73,DD_FLU_MICROC_PERSONNEL_3,0)*$K190</f>
        <v>0</v>
      </c>
      <c r="M190" s="162">
        <f ca="1">OFFSET(Cost_Ingredients!$O$73,DD_FLU_MICROC_PERSONNEL_3,0)*$K190</f>
        <v>0</v>
      </c>
      <c r="N190" s="179">
        <f ca="1">L190/Cost_Ingredients!$J$21</f>
        <v>0</v>
      </c>
      <c r="O190" s="179">
        <f ca="1">M190/Cost_Ingredients!$J$21</f>
        <v>0</v>
      </c>
      <c r="P190" s="151"/>
    </row>
    <row r="191" spans="2:16" s="23" customFormat="1" outlineLevel="1">
      <c r="D191" s="746">
        <v>1</v>
      </c>
      <c r="E191" s="746"/>
      <c r="F191" s="746"/>
      <c r="G191" s="749"/>
      <c r="H191" s="151" t="s">
        <v>353</v>
      </c>
      <c r="I191" s="31">
        <v>1</v>
      </c>
      <c r="J191" s="64">
        <v>8</v>
      </c>
      <c r="K191" s="135">
        <f t="shared" si="1"/>
        <v>0.36363636363636365</v>
      </c>
      <c r="L191" s="162">
        <f ca="1">OFFSET(Cost_Ingredients!$N$73,DD_FLU_MICROC_PERSONNEL_4,0)*$K191</f>
        <v>0</v>
      </c>
      <c r="M191" s="162">
        <f ca="1">OFFSET(Cost_Ingredients!$O$73,DD_FLU_MICROC_PERSONNEL_4,0)*$K191</f>
        <v>0</v>
      </c>
      <c r="N191" s="179">
        <f ca="1">L191/Cost_Ingredients!$J$21</f>
        <v>0</v>
      </c>
      <c r="O191" s="179">
        <f ca="1">M191/Cost_Ingredients!$J$21</f>
        <v>0</v>
      </c>
      <c r="P191" s="151"/>
    </row>
    <row r="192" spans="2:16" s="23" customFormat="1" outlineLevel="1">
      <c r="D192" s="746">
        <v>1</v>
      </c>
      <c r="E192" s="746"/>
      <c r="F192" s="746"/>
      <c r="G192" s="749"/>
      <c r="H192" s="151" t="s">
        <v>353</v>
      </c>
      <c r="I192" s="31">
        <v>1</v>
      </c>
      <c r="J192" s="64">
        <v>8</v>
      </c>
      <c r="K192" s="135">
        <f t="shared" si="1"/>
        <v>0.36363636363636365</v>
      </c>
      <c r="L192" s="162">
        <f ca="1">OFFSET(Cost_Ingredients!$N$73,DD_FLU_MICROC_PERSONNEL_5,0)*$K192</f>
        <v>0</v>
      </c>
      <c r="M192" s="162">
        <f ca="1">OFFSET(Cost_Ingredients!$O$73,DD_FLU_MICROC_PERSONNEL_5,0)*$K192</f>
        <v>0</v>
      </c>
      <c r="N192" s="179">
        <f ca="1">L192/Cost_Ingredients!$J$21</f>
        <v>0</v>
      </c>
      <c r="O192" s="179">
        <f ca="1">M192/Cost_Ingredients!$J$21</f>
        <v>0</v>
      </c>
      <c r="P192" s="151"/>
    </row>
    <row r="193" spans="3:16" s="23" customFormat="1" outlineLevel="1">
      <c r="D193" s="746">
        <v>1</v>
      </c>
      <c r="E193" s="746"/>
      <c r="F193" s="746"/>
      <c r="G193" s="749"/>
      <c r="H193" s="151" t="s">
        <v>353</v>
      </c>
      <c r="I193" s="31">
        <v>1</v>
      </c>
      <c r="J193" s="64">
        <v>10</v>
      </c>
      <c r="K193" s="135">
        <f t="shared" si="1"/>
        <v>0.45454545454545453</v>
      </c>
      <c r="L193" s="162">
        <f ca="1">OFFSET(Cost_Ingredients!$N$73,DD_FLU_MICROC_PERSONNEL_6,0)*$K193</f>
        <v>0</v>
      </c>
      <c r="M193" s="162">
        <f ca="1">OFFSET(Cost_Ingredients!$O$73,DD_FLU_MICROC_PERSONNEL_6,0)*$K193</f>
        <v>0</v>
      </c>
      <c r="N193" s="179">
        <f ca="1">L193/Cost_Ingredients!$J$21</f>
        <v>0</v>
      </c>
      <c r="O193" s="179">
        <f ca="1">M193/Cost_Ingredients!$J$21</f>
        <v>0</v>
      </c>
      <c r="P193" s="151"/>
    </row>
    <row r="194" spans="3:16" s="23" customFormat="1" outlineLevel="1">
      <c r="D194" s="746">
        <v>1</v>
      </c>
      <c r="E194" s="746"/>
      <c r="F194" s="746"/>
      <c r="G194" s="749"/>
      <c r="H194" s="151"/>
      <c r="I194" s="31">
        <v>1</v>
      </c>
      <c r="J194" s="64">
        <v>0</v>
      </c>
      <c r="K194" s="135">
        <f t="shared" si="1"/>
        <v>0</v>
      </c>
      <c r="L194" s="162">
        <f ca="1">OFFSET(Cost_Ingredients!$N$73,DD_FLU_MICROC_PERSONNEL_7,0)*$K194</f>
        <v>0</v>
      </c>
      <c r="M194" s="162">
        <f ca="1">OFFSET(Cost_Ingredients!$O$73,DD_FLU_MICROC_PERSONNEL_7,0)*$K194</f>
        <v>0</v>
      </c>
      <c r="N194" s="179">
        <f ca="1">L194/Cost_Ingredients!$J$21</f>
        <v>0</v>
      </c>
      <c r="O194" s="179">
        <f ca="1">M194/Cost_Ingredients!$J$21</f>
        <v>0</v>
      </c>
      <c r="P194" s="151"/>
    </row>
    <row r="195" spans="3:16" s="23" customFormat="1" outlineLevel="1">
      <c r="D195" s="746">
        <v>1</v>
      </c>
      <c r="E195" s="746"/>
      <c r="F195" s="746"/>
      <c r="G195" s="749"/>
      <c r="H195" s="151"/>
      <c r="I195" s="31">
        <v>1</v>
      </c>
      <c r="J195" s="64">
        <v>0</v>
      </c>
      <c r="K195" s="135">
        <f t="shared" si="1"/>
        <v>0</v>
      </c>
      <c r="L195" s="162">
        <f ca="1">OFFSET(Cost_Ingredients!$N$73,DD_FLU_MICROC_PERSONNEL_8,0)*$K195</f>
        <v>0</v>
      </c>
      <c r="M195" s="162">
        <f ca="1">OFFSET(Cost_Ingredients!$O$73,DD_FLU_MICROC_PERSONNEL_8,0)*$K195</f>
        <v>0</v>
      </c>
      <c r="N195" s="179">
        <f ca="1">L195/Cost_Ingredients!$J$21</f>
        <v>0</v>
      </c>
      <c r="O195" s="179">
        <f ca="1">M195/Cost_Ingredients!$J$21</f>
        <v>0</v>
      </c>
      <c r="P195" s="151"/>
    </row>
    <row r="196" spans="3:16" s="23" customFormat="1" outlineLevel="1">
      <c r="D196" s="746">
        <v>1</v>
      </c>
      <c r="E196" s="746"/>
      <c r="F196" s="746"/>
      <c r="G196" s="749"/>
      <c r="H196" s="151"/>
      <c r="I196" s="31">
        <v>1</v>
      </c>
      <c r="J196" s="64">
        <v>0</v>
      </c>
      <c r="K196" s="135">
        <f t="shared" si="1"/>
        <v>0</v>
      </c>
      <c r="L196" s="162">
        <f ca="1">OFFSET(Cost_Ingredients!$N$73,DD_FLU_MICROC_PERSONNEL_9,0)*$K196</f>
        <v>0</v>
      </c>
      <c r="M196" s="162">
        <f ca="1">OFFSET(Cost_Ingredients!$O$73,DD_FLU_MICROC_PERSONNEL_9,0)*$K196</f>
        <v>0</v>
      </c>
      <c r="N196" s="179">
        <f ca="1">L196/Cost_Ingredients!$J$21</f>
        <v>0</v>
      </c>
      <c r="O196" s="179">
        <f ca="1">M196/Cost_Ingredients!$J$21</f>
        <v>0</v>
      </c>
      <c r="P196" s="151"/>
    </row>
    <row r="197" spans="3:16" s="23" customFormat="1" outlineLevel="1">
      <c r="D197" s="746">
        <v>1</v>
      </c>
      <c r="E197" s="746"/>
      <c r="F197" s="746"/>
      <c r="G197" s="749"/>
      <c r="H197" s="151"/>
      <c r="I197" s="31">
        <v>1</v>
      </c>
      <c r="J197" s="64">
        <v>0</v>
      </c>
      <c r="K197" s="135">
        <f t="shared" si="1"/>
        <v>0</v>
      </c>
      <c r="L197" s="162">
        <f ca="1">OFFSET(Cost_Ingredients!$N$73,DD_FLU_MICROC_PERSONNEL_10,0)*$K197</f>
        <v>0</v>
      </c>
      <c r="M197" s="162">
        <f ca="1">OFFSET(Cost_Ingredients!$O$73,DD_FLU_MICROC_PERSONNEL_10,0)*$K197</f>
        <v>0</v>
      </c>
      <c r="N197" s="179">
        <f ca="1">L197/Cost_Ingredients!$J$21</f>
        <v>0</v>
      </c>
      <c r="O197" s="179">
        <f ca="1">M197/Cost_Ingredients!$J$21</f>
        <v>0</v>
      </c>
      <c r="P197" s="151"/>
    </row>
    <row r="198" spans="3:16" s="23" customFormat="1" outlineLevel="1">
      <c r="D198" s="746">
        <v>1</v>
      </c>
      <c r="E198" s="746"/>
      <c r="F198" s="746"/>
      <c r="G198" s="749"/>
      <c r="H198" s="151"/>
      <c r="I198" s="31">
        <v>1</v>
      </c>
      <c r="J198" s="64">
        <v>0</v>
      </c>
      <c r="K198" s="135">
        <f t="shared" si="1"/>
        <v>0</v>
      </c>
      <c r="L198" s="162">
        <f ca="1">OFFSET(Cost_Ingredients!$N$73,DD_FLU_MICROC_PERSONNEL_11,0)*$K198</f>
        <v>0</v>
      </c>
      <c r="M198" s="162">
        <f ca="1">OFFSET(Cost_Ingredients!$O$73,DD_FLU_MICROC_PERSONNEL_11,0)*$K198</f>
        <v>0</v>
      </c>
      <c r="N198" s="179">
        <f ca="1">L198/Cost_Ingredients!$J$21</f>
        <v>0</v>
      </c>
      <c r="O198" s="179">
        <f ca="1">M198/Cost_Ingredients!$J$21</f>
        <v>0</v>
      </c>
      <c r="P198" s="151"/>
    </row>
    <row r="199" spans="3:16" s="23" customFormat="1" outlineLevel="1">
      <c r="D199" s="746">
        <v>1</v>
      </c>
      <c r="E199" s="746"/>
      <c r="F199" s="746"/>
      <c r="G199" s="749"/>
      <c r="H199" s="151"/>
      <c r="I199" s="31">
        <v>1</v>
      </c>
      <c r="J199" s="64">
        <v>0</v>
      </c>
      <c r="K199" s="135">
        <f t="shared" si="1"/>
        <v>0</v>
      </c>
      <c r="L199" s="162">
        <f ca="1">OFFSET(Cost_Ingredients!$N$73,DD_FLU_MICROC_PERSONNEL_12,0)*$K199</f>
        <v>0</v>
      </c>
      <c r="M199" s="162">
        <f ca="1">OFFSET(Cost_Ingredients!$O$73,DD_FLU_MICROC_PERSONNEL_12,0)*$K199</f>
        <v>0</v>
      </c>
      <c r="N199" s="179">
        <f ca="1">L199/Cost_Ingredients!$J$21</f>
        <v>0</v>
      </c>
      <c r="O199" s="179">
        <f ca="1">M199/Cost_Ingredients!$J$21</f>
        <v>0</v>
      </c>
      <c r="P199" s="151"/>
    </row>
    <row r="200" spans="3:16" s="23" customFormat="1" outlineLevel="1">
      <c r="D200" s="746">
        <v>1</v>
      </c>
      <c r="E200" s="746"/>
      <c r="F200" s="746"/>
      <c r="G200" s="749"/>
      <c r="H200" s="151"/>
      <c r="I200" s="31">
        <v>1</v>
      </c>
      <c r="J200" s="64">
        <v>0</v>
      </c>
      <c r="K200" s="135">
        <f t="shared" si="1"/>
        <v>0</v>
      </c>
      <c r="L200" s="162">
        <f ca="1">OFFSET(Cost_Ingredients!$N$73,DD_FLU_MICROC_PERSONNEL_13,0)*$K200</f>
        <v>0</v>
      </c>
      <c r="M200" s="162">
        <f ca="1">OFFSET(Cost_Ingredients!$O$73,DD_FLU_MICROC_PERSONNEL_13,0)*$K200</f>
        <v>0</v>
      </c>
      <c r="N200" s="179">
        <f ca="1">L200/Cost_Ingredients!$J$21</f>
        <v>0</v>
      </c>
      <c r="O200" s="179">
        <f ca="1">M200/Cost_Ingredients!$J$21</f>
        <v>0</v>
      </c>
      <c r="P200" s="151"/>
    </row>
    <row r="201" spans="3:16" s="23" customFormat="1" outlineLevel="1">
      <c r="D201" s="746">
        <v>1</v>
      </c>
      <c r="E201" s="746"/>
      <c r="F201" s="746"/>
      <c r="G201" s="749"/>
      <c r="H201" s="151"/>
      <c r="I201" s="31">
        <v>1</v>
      </c>
      <c r="J201" s="64">
        <v>0</v>
      </c>
      <c r="K201" s="135">
        <f t="shared" si="1"/>
        <v>0</v>
      </c>
      <c r="L201" s="162">
        <f ca="1">OFFSET(Cost_Ingredients!$N$73,DD_FLU_MICROC_PERSONNEL_14,0)*$K201</f>
        <v>0</v>
      </c>
      <c r="M201" s="162">
        <f ca="1">OFFSET(Cost_Ingredients!$O$73,DD_FLU_MICROC_PERSONNEL_14,0)*$K201</f>
        <v>0</v>
      </c>
      <c r="N201" s="179">
        <f ca="1">L201/Cost_Ingredients!$J$21</f>
        <v>0</v>
      </c>
      <c r="O201" s="179">
        <f ca="1">M201/Cost_Ingredients!$J$21</f>
        <v>0</v>
      </c>
      <c r="P201" s="151"/>
    </row>
    <row r="202" spans="3:16" s="23" customFormat="1" outlineLevel="1">
      <c r="D202" s="746">
        <v>1</v>
      </c>
      <c r="E202" s="746"/>
      <c r="F202" s="746"/>
      <c r="G202" s="749"/>
      <c r="H202" s="172"/>
      <c r="I202" s="31">
        <v>1</v>
      </c>
      <c r="J202" s="173">
        <v>0</v>
      </c>
      <c r="K202" s="135">
        <f t="shared" si="1"/>
        <v>0</v>
      </c>
      <c r="L202" s="162">
        <f ca="1">OFFSET(Cost_Ingredients!$N$73,DD_FLU_MICROC_PERSONNEL_15,0)*$K202</f>
        <v>0</v>
      </c>
      <c r="M202" s="162">
        <f ca="1">OFFSET(Cost_Ingredients!$O$73,DD_FLU_MICROC_PERSONNEL_15,0)*$K202</f>
        <v>0</v>
      </c>
      <c r="N202" s="179">
        <f ca="1">L202/Cost_Ingredients!$J$21</f>
        <v>0</v>
      </c>
      <c r="O202" s="179">
        <f ca="1">M202/Cost_Ingredients!$J$21</f>
        <v>0</v>
      </c>
      <c r="P202" s="172"/>
    </row>
    <row r="203" spans="3:16" s="23" customFormat="1">
      <c r="D203" s="12"/>
      <c r="E203" s="12"/>
      <c r="F203" s="12"/>
      <c r="G203" s="12"/>
      <c r="H203" s="156"/>
      <c r="I203" s="12"/>
      <c r="J203" s="69"/>
      <c r="K203" s="18"/>
      <c r="L203" s="255">
        <f ca="1">SUM(L188:L202)</f>
        <v>0</v>
      </c>
      <c r="M203" s="255">
        <f ca="1">SUM(M188:M202)</f>
        <v>10200.640909090907</v>
      </c>
      <c r="N203" s="258">
        <f ca="1">SUM(N188:N202)</f>
        <v>0</v>
      </c>
      <c r="O203" s="258">
        <f ca="1">SUM(O188:O202)</f>
        <v>68.004272727272721</v>
      </c>
      <c r="P203" s="156"/>
    </row>
    <row r="204" spans="3:16">
      <c r="I204" s="23"/>
      <c r="K204" s="23"/>
      <c r="L204" s="23"/>
      <c r="M204" s="23"/>
      <c r="N204" s="23"/>
      <c r="O204" s="23"/>
    </row>
    <row r="205" spans="3:16">
      <c r="C205" s="153" t="str">
        <f>FLU_LU!$D$279</f>
        <v>Allowances</v>
      </c>
      <c r="I205" s="23"/>
      <c r="K205" s="23"/>
      <c r="L205" s="23"/>
      <c r="M205" s="23"/>
      <c r="N205" s="23"/>
      <c r="O205" s="23"/>
    </row>
    <row r="206" spans="3:16" ht="28.8" outlineLevel="1">
      <c r="D206" s="733" t="s">
        <v>100</v>
      </c>
      <c r="E206" s="733"/>
      <c r="F206" s="733"/>
      <c r="G206" s="733"/>
      <c r="H206" s="730" t="s">
        <v>274</v>
      </c>
      <c r="I206" s="730"/>
      <c r="J206" s="152" t="s">
        <v>67</v>
      </c>
      <c r="K206" s="23"/>
      <c r="L206" s="28" t="str">
        <f>"Financial Price ("&amp;FLU_LU!$D$79&amp;")"</f>
        <v>Financial Price (GOZ)</v>
      </c>
      <c r="M206" s="28" t="str">
        <f>"Economic Price ("&amp;FLU_LU!$D$79&amp;")"</f>
        <v>Economic Price (GOZ)</v>
      </c>
      <c r="N206" s="28" t="str">
        <f>"Financial Price ("&amp;FLU_LU!$D$78&amp;")"</f>
        <v>Financial Price (USD)</v>
      </c>
      <c r="O206" s="28" t="str">
        <f>"Economic Price ("&amp;FLU_LU!$D$78&amp;")"</f>
        <v>Economic Price (USD)</v>
      </c>
      <c r="P206" s="152" t="s">
        <v>68</v>
      </c>
    </row>
    <row r="207" spans="3:16" s="23" customFormat="1" outlineLevel="1">
      <c r="D207" s="746">
        <v>2</v>
      </c>
      <c r="E207" s="747"/>
      <c r="F207" s="747"/>
      <c r="G207" s="748"/>
      <c r="H207" s="667"/>
      <c r="I207" s="667"/>
      <c r="J207" s="64">
        <v>4</v>
      </c>
      <c r="L207" s="162">
        <f ca="1">OFFSET(Cost_Ingredients!$N$103,$D207,0)*$J207</f>
        <v>22000</v>
      </c>
      <c r="M207" s="162">
        <f ca="1">OFFSET(Cost_Ingredients!$O$103,$D207,0)*$J207</f>
        <v>22000</v>
      </c>
      <c r="N207" s="163">
        <f ca="1">L207/Cost_Ingredients!$J$21</f>
        <v>146.66666666666666</v>
      </c>
      <c r="O207" s="163">
        <f ca="1">M207/Cost_Ingredients!$J$21</f>
        <v>146.66666666666666</v>
      </c>
      <c r="P207" s="151"/>
    </row>
    <row r="208" spans="3:16" s="23" customFormat="1" outlineLevel="1">
      <c r="D208" s="746">
        <v>1</v>
      </c>
      <c r="E208" s="747"/>
      <c r="F208" s="747"/>
      <c r="G208" s="748"/>
      <c r="H208" s="667"/>
      <c r="I208" s="667"/>
      <c r="J208" s="64"/>
      <c r="L208" s="162">
        <f ca="1">OFFSET(Cost_Ingredients!$N$103,$D208,0)*$J208</f>
        <v>0</v>
      </c>
      <c r="M208" s="162">
        <f ca="1">OFFSET(Cost_Ingredients!$O$103,$D208,0)*$J208</f>
        <v>0</v>
      </c>
      <c r="N208" s="163">
        <f ca="1">L208/Cost_Ingredients!$J$21</f>
        <v>0</v>
      </c>
      <c r="O208" s="163">
        <f ca="1">M208/Cost_Ingredients!$J$21</f>
        <v>0</v>
      </c>
      <c r="P208" s="151"/>
    </row>
    <row r="209" spans="3:16" s="23" customFormat="1" outlineLevel="1">
      <c r="D209" s="746">
        <v>1</v>
      </c>
      <c r="E209" s="747"/>
      <c r="F209" s="747"/>
      <c r="G209" s="748"/>
      <c r="H209" s="667"/>
      <c r="I209" s="667"/>
      <c r="J209" s="64"/>
      <c r="L209" s="162">
        <f ca="1">OFFSET(Cost_Ingredients!$N$103,$D209,0)*$J209</f>
        <v>0</v>
      </c>
      <c r="M209" s="162">
        <f ca="1">OFFSET(Cost_Ingredients!$O$103,$D209,0)*$J209</f>
        <v>0</v>
      </c>
      <c r="N209" s="163">
        <f ca="1">L209/Cost_Ingredients!$J$21</f>
        <v>0</v>
      </c>
      <c r="O209" s="163">
        <f ca="1">M209/Cost_Ingredients!$J$21</f>
        <v>0</v>
      </c>
      <c r="P209" s="151"/>
    </row>
    <row r="210" spans="3:16" s="23" customFormat="1" outlineLevel="1">
      <c r="D210" s="746">
        <v>1</v>
      </c>
      <c r="E210" s="747"/>
      <c r="F210" s="747"/>
      <c r="G210" s="748"/>
      <c r="H210" s="667"/>
      <c r="I210" s="667"/>
      <c r="J210" s="64"/>
      <c r="L210" s="162">
        <f ca="1">OFFSET(Cost_Ingredients!$N$103,$D210,0)*$J210</f>
        <v>0</v>
      </c>
      <c r="M210" s="162">
        <f ca="1">OFFSET(Cost_Ingredients!$O$103,$D210,0)*$J210</f>
        <v>0</v>
      </c>
      <c r="N210" s="163">
        <f ca="1">L210/Cost_Ingredients!$J$21</f>
        <v>0</v>
      </c>
      <c r="O210" s="163">
        <f ca="1">M210/Cost_Ingredients!$J$21</f>
        <v>0</v>
      </c>
      <c r="P210" s="151"/>
    </row>
    <row r="211" spans="3:16" s="23" customFormat="1" outlineLevel="1">
      <c r="D211" s="746">
        <v>1</v>
      </c>
      <c r="E211" s="747"/>
      <c r="F211" s="747"/>
      <c r="G211" s="748"/>
      <c r="H211" s="667"/>
      <c r="I211" s="667"/>
      <c r="J211" s="64"/>
      <c r="L211" s="162">
        <f ca="1">OFFSET(Cost_Ingredients!$N$103,$D211,0)*$J211</f>
        <v>0</v>
      </c>
      <c r="M211" s="162">
        <f ca="1">OFFSET(Cost_Ingredients!$O$103,$D211,0)*$J211</f>
        <v>0</v>
      </c>
      <c r="N211" s="163">
        <f ca="1">L211/Cost_Ingredients!$J$21</f>
        <v>0</v>
      </c>
      <c r="O211" s="163">
        <f ca="1">M211/Cost_Ingredients!$J$21</f>
        <v>0</v>
      </c>
      <c r="P211" s="151"/>
    </row>
    <row r="212" spans="3:16" s="23" customFormat="1" outlineLevel="1">
      <c r="D212" s="746">
        <v>1</v>
      </c>
      <c r="E212" s="747"/>
      <c r="F212" s="747"/>
      <c r="G212" s="748"/>
      <c r="H212" s="667"/>
      <c r="I212" s="667"/>
      <c r="J212" s="64"/>
      <c r="L212" s="162">
        <f ca="1">OFFSET(Cost_Ingredients!$N$103,$D212,0)*$J212</f>
        <v>0</v>
      </c>
      <c r="M212" s="162">
        <f ca="1">OFFSET(Cost_Ingredients!$O$103,$D212,0)*$J212</f>
        <v>0</v>
      </c>
      <c r="N212" s="163">
        <f ca="1">L212/Cost_Ingredients!$J$21</f>
        <v>0</v>
      </c>
      <c r="O212" s="163">
        <f ca="1">M212/Cost_Ingredients!$J$21</f>
        <v>0</v>
      </c>
      <c r="P212" s="151"/>
    </row>
    <row r="213" spans="3:16" s="23" customFormat="1" outlineLevel="1">
      <c r="D213" s="746">
        <v>1</v>
      </c>
      <c r="E213" s="747"/>
      <c r="F213" s="747"/>
      <c r="G213" s="748"/>
      <c r="H213" s="667"/>
      <c r="I213" s="667"/>
      <c r="J213" s="64"/>
      <c r="L213" s="162">
        <f ca="1">OFFSET(Cost_Ingredients!$N$103,$D213,0)*$J213</f>
        <v>0</v>
      </c>
      <c r="M213" s="162">
        <f ca="1">OFFSET(Cost_Ingredients!$O$103,$D213,0)*$J213</f>
        <v>0</v>
      </c>
      <c r="N213" s="163">
        <f ca="1">L213/Cost_Ingredients!$J$21</f>
        <v>0</v>
      </c>
      <c r="O213" s="163">
        <f ca="1">M213/Cost_Ingredients!$J$21</f>
        <v>0</v>
      </c>
      <c r="P213" s="151"/>
    </row>
    <row r="214" spans="3:16" s="23" customFormat="1" outlineLevel="1">
      <c r="D214" s="746">
        <v>1</v>
      </c>
      <c r="E214" s="747"/>
      <c r="F214" s="747"/>
      <c r="G214" s="748"/>
      <c r="H214" s="667"/>
      <c r="I214" s="667"/>
      <c r="J214" s="64"/>
      <c r="L214" s="162">
        <f ca="1">OFFSET(Cost_Ingredients!$N$103,$D214,0)*$J214</f>
        <v>0</v>
      </c>
      <c r="M214" s="162">
        <f ca="1">OFFSET(Cost_Ingredients!$O$103,$D214,0)*$J214</f>
        <v>0</v>
      </c>
      <c r="N214" s="163">
        <f ca="1">L214/Cost_Ingredients!$J$21</f>
        <v>0</v>
      </c>
      <c r="O214" s="163">
        <f ca="1">M214/Cost_Ingredients!$J$21</f>
        <v>0</v>
      </c>
      <c r="P214" s="151"/>
    </row>
    <row r="215" spans="3:16" s="23" customFormat="1" outlineLevel="1">
      <c r="D215" s="746">
        <v>1</v>
      </c>
      <c r="E215" s="747"/>
      <c r="F215" s="747"/>
      <c r="G215" s="748"/>
      <c r="H215" s="667"/>
      <c r="I215" s="667"/>
      <c r="J215" s="64"/>
      <c r="L215" s="162">
        <f ca="1">OFFSET(Cost_Ingredients!$N$103,$D215,0)*$J215</f>
        <v>0</v>
      </c>
      <c r="M215" s="162">
        <f ca="1">OFFSET(Cost_Ingredients!$O$103,$D215,0)*$J215</f>
        <v>0</v>
      </c>
      <c r="N215" s="163">
        <f ca="1">L215/Cost_Ingredients!$J$21</f>
        <v>0</v>
      </c>
      <c r="O215" s="163">
        <f ca="1">M215/Cost_Ingredients!$J$21</f>
        <v>0</v>
      </c>
      <c r="P215" s="151"/>
    </row>
    <row r="216" spans="3:16" s="23" customFormat="1" outlineLevel="1">
      <c r="D216" s="746">
        <v>1</v>
      </c>
      <c r="E216" s="747"/>
      <c r="F216" s="747"/>
      <c r="G216" s="748"/>
      <c r="H216" s="667"/>
      <c r="I216" s="667"/>
      <c r="J216" s="64"/>
      <c r="L216" s="162">
        <f ca="1">OFFSET(Cost_Ingredients!$N$103,$D216,0)*$J216</f>
        <v>0</v>
      </c>
      <c r="M216" s="162">
        <f ca="1">OFFSET(Cost_Ingredients!$O$103,$D216,0)*$J216</f>
        <v>0</v>
      </c>
      <c r="N216" s="163">
        <f ca="1">L216/Cost_Ingredients!$J$21</f>
        <v>0</v>
      </c>
      <c r="O216" s="163">
        <f ca="1">M216/Cost_Ingredients!$J$21</f>
        <v>0</v>
      </c>
      <c r="P216" s="151"/>
    </row>
    <row r="217" spans="3:16" s="23" customFormat="1" outlineLevel="1">
      <c r="D217" s="746">
        <v>1</v>
      </c>
      <c r="E217" s="747"/>
      <c r="F217" s="747"/>
      <c r="G217" s="748"/>
      <c r="H217" s="667"/>
      <c r="I217" s="667"/>
      <c r="J217" s="64"/>
      <c r="L217" s="162">
        <f ca="1">OFFSET(Cost_Ingredients!$N$103,$D217,0)*$J217</f>
        <v>0</v>
      </c>
      <c r="M217" s="162">
        <f ca="1">OFFSET(Cost_Ingredients!$O$103,$D217,0)*$J217</f>
        <v>0</v>
      </c>
      <c r="N217" s="163">
        <f ca="1">L217/Cost_Ingredients!$J$21</f>
        <v>0</v>
      </c>
      <c r="O217" s="163">
        <f ca="1">M217/Cost_Ingredients!$J$21</f>
        <v>0</v>
      </c>
      <c r="P217" s="151"/>
    </row>
    <row r="218" spans="3:16" s="23" customFormat="1" outlineLevel="1">
      <c r="D218" s="746">
        <v>1</v>
      </c>
      <c r="E218" s="747"/>
      <c r="F218" s="747"/>
      <c r="G218" s="748"/>
      <c r="H218" s="667"/>
      <c r="I218" s="667"/>
      <c r="J218" s="64"/>
      <c r="L218" s="162">
        <f ca="1">OFFSET(Cost_Ingredients!$N$103,$D218,0)*$J218</f>
        <v>0</v>
      </c>
      <c r="M218" s="162">
        <f ca="1">OFFSET(Cost_Ingredients!$O$103,$D218,0)*$J218</f>
        <v>0</v>
      </c>
      <c r="N218" s="163">
        <f ca="1">L218/Cost_Ingredients!$J$21</f>
        <v>0</v>
      </c>
      <c r="O218" s="163">
        <f ca="1">M218/Cost_Ingredients!$J$21</f>
        <v>0</v>
      </c>
      <c r="P218" s="151"/>
    </row>
    <row r="219" spans="3:16" s="23" customFormat="1" outlineLevel="1">
      <c r="D219" s="746">
        <v>1</v>
      </c>
      <c r="E219" s="747"/>
      <c r="F219" s="747"/>
      <c r="G219" s="748"/>
      <c r="H219" s="667"/>
      <c r="I219" s="667"/>
      <c r="J219" s="64"/>
      <c r="L219" s="162">
        <f ca="1">OFFSET(Cost_Ingredients!$N$103,$D219,0)*$J219</f>
        <v>0</v>
      </c>
      <c r="M219" s="162">
        <f ca="1">OFFSET(Cost_Ingredients!$O$103,$D219,0)*$J219</f>
        <v>0</v>
      </c>
      <c r="N219" s="163">
        <f ca="1">L219/Cost_Ingredients!$J$21</f>
        <v>0</v>
      </c>
      <c r="O219" s="163">
        <f ca="1">M219/Cost_Ingredients!$J$21</f>
        <v>0</v>
      </c>
      <c r="P219" s="151"/>
    </row>
    <row r="220" spans="3:16" s="23" customFormat="1" outlineLevel="1">
      <c r="D220" s="746">
        <v>1</v>
      </c>
      <c r="E220" s="747"/>
      <c r="F220" s="747"/>
      <c r="G220" s="748"/>
      <c r="H220" s="667"/>
      <c r="I220" s="667"/>
      <c r="J220" s="64"/>
      <c r="L220" s="162">
        <f ca="1">OFFSET(Cost_Ingredients!$N$103,$D220,0)*$J220</f>
        <v>0</v>
      </c>
      <c r="M220" s="162">
        <f ca="1">OFFSET(Cost_Ingredients!$O$103,$D220,0)*$J220</f>
        <v>0</v>
      </c>
      <c r="N220" s="163">
        <f ca="1">L220/Cost_Ingredients!$J$21</f>
        <v>0</v>
      </c>
      <c r="O220" s="163">
        <f ca="1">M220/Cost_Ingredients!$J$21</f>
        <v>0</v>
      </c>
      <c r="P220" s="151"/>
    </row>
    <row r="221" spans="3:16" s="23" customFormat="1" outlineLevel="1">
      <c r="D221" s="746">
        <v>1</v>
      </c>
      <c r="E221" s="747"/>
      <c r="F221" s="747"/>
      <c r="G221" s="748"/>
      <c r="H221" s="745"/>
      <c r="I221" s="745"/>
      <c r="J221" s="173">
        <v>0</v>
      </c>
      <c r="L221" s="162">
        <f ca="1">OFFSET(Cost_Ingredients!$N$103,$D221,0)*$J221</f>
        <v>0</v>
      </c>
      <c r="M221" s="162">
        <f ca="1">OFFSET(Cost_Ingredients!$O$103,$D221,0)*$J221</f>
        <v>0</v>
      </c>
      <c r="N221" s="163">
        <f ca="1">L221/Cost_Ingredients!$J$21</f>
        <v>0</v>
      </c>
      <c r="O221" s="163">
        <f ca="1">M221/Cost_Ingredients!$J$21</f>
        <v>0</v>
      </c>
      <c r="P221" s="172"/>
    </row>
    <row r="222" spans="3:16" s="23" customFormat="1">
      <c r="D222" s="754" t="str">
        <f>"Subtotal - "&amp;C205</f>
        <v>Subtotal - Allowances</v>
      </c>
      <c r="E222" s="755"/>
      <c r="F222" s="755"/>
      <c r="G222" s="755"/>
      <c r="H222" s="156"/>
      <c r="I222" s="156"/>
      <c r="J222" s="69"/>
      <c r="L222" s="255">
        <f ca="1">SUM(L207:L221)</f>
        <v>22000</v>
      </c>
      <c r="M222" s="255">
        <f ca="1">SUM(M207:M221)</f>
        <v>22000</v>
      </c>
      <c r="N222" s="258">
        <f ca="1">SUM(N207:N221)</f>
        <v>146.66666666666666</v>
      </c>
      <c r="O222" s="258">
        <f ca="1">SUM(O207:O221)</f>
        <v>146.66666666666666</v>
      </c>
      <c r="P222" s="156"/>
    </row>
    <row r="223" spans="3:16">
      <c r="I223" s="23"/>
      <c r="K223" s="23"/>
      <c r="L223" s="23"/>
      <c r="M223" s="23"/>
      <c r="N223" s="23"/>
      <c r="O223" s="23"/>
    </row>
    <row r="224" spans="3:16">
      <c r="C224" s="153" t="str">
        <f>FLU_LU!$D$280</f>
        <v>Supplies &amp; Materials</v>
      </c>
      <c r="I224" s="23"/>
      <c r="K224" s="23"/>
      <c r="L224" s="23"/>
      <c r="M224" s="23"/>
      <c r="N224" s="23"/>
      <c r="O224" s="23"/>
    </row>
    <row r="225" spans="4:16" ht="14.4" customHeight="1" outlineLevel="1">
      <c r="D225" s="733" t="s">
        <v>100</v>
      </c>
      <c r="E225" s="733"/>
      <c r="F225" s="733"/>
      <c r="G225" s="733"/>
      <c r="H225" s="142" t="s">
        <v>274</v>
      </c>
      <c r="I225" s="72" t="s">
        <v>275</v>
      </c>
      <c r="J225" s="152" t="s">
        <v>67</v>
      </c>
      <c r="K225" s="23"/>
      <c r="L225" s="28" t="str">
        <f>"Financial Price ("&amp;FLU_LU!$D$79&amp;")"</f>
        <v>Financial Price (GOZ)</v>
      </c>
      <c r="M225" s="28" t="str">
        <f>"Economic Price ("&amp;FLU_LU!$D$79&amp;")"</f>
        <v>Economic Price (GOZ)</v>
      </c>
      <c r="N225" s="28" t="str">
        <f>"Financial Price ("&amp;FLU_LU!$D$78&amp;")"</f>
        <v>Financial Price (USD)</v>
      </c>
      <c r="O225" s="28" t="str">
        <f>"Economic Price ("&amp;FLU_LU!$D$78&amp;")"</f>
        <v>Economic Price (USD)</v>
      </c>
      <c r="P225" s="152" t="s">
        <v>68</v>
      </c>
    </row>
    <row r="226" spans="4:16" s="23" customFormat="1" ht="14.4" customHeight="1" outlineLevel="1">
      <c r="D226" s="746">
        <v>3</v>
      </c>
      <c r="E226" s="747"/>
      <c r="F226" s="747"/>
      <c r="G226" s="748"/>
      <c r="H226" s="151"/>
      <c r="I226" s="159" t="str">
        <f ca="1">OFFSET(Cost_Ingredients!$M$117,$D226,0)</f>
        <v>pz</v>
      </c>
      <c r="J226" s="64">
        <v>1</v>
      </c>
      <c r="L226" s="162">
        <f ca="1">OFFSET(Cost_Ingredients!$N$117,$D226,0)*$J226</f>
        <v>1</v>
      </c>
      <c r="M226" s="162">
        <f ca="1">OFFSET(Cost_Ingredients!$O$117,$D226,0)*$J226</f>
        <v>6</v>
      </c>
      <c r="N226" s="163">
        <f ca="1">L226/Cost_Ingredients!$J$21</f>
        <v>6.6666666666666671E-3</v>
      </c>
      <c r="O226" s="163">
        <f ca="1">M226/Cost_Ingredients!$J$21</f>
        <v>0.04</v>
      </c>
      <c r="P226" s="151"/>
    </row>
    <row r="227" spans="4:16" s="23" customFormat="1" ht="14.4" customHeight="1" outlineLevel="1">
      <c r="D227" s="746">
        <v>1</v>
      </c>
      <c r="E227" s="747"/>
      <c r="F227" s="747"/>
      <c r="G227" s="748"/>
      <c r="H227" s="151"/>
      <c r="I227" s="159">
        <f ca="1">OFFSET(Cost_Ingredients!$M$117,$D227,0)</f>
        <v>0</v>
      </c>
      <c r="J227" s="64"/>
      <c r="L227" s="162">
        <f ca="1">OFFSET(Cost_Ingredients!$N$117,$D227,0)*$J227</f>
        <v>0</v>
      </c>
      <c r="M227" s="162">
        <f ca="1">OFFSET(Cost_Ingredients!$O$117,$D227,0)*$J227</f>
        <v>0</v>
      </c>
      <c r="N227" s="163">
        <f ca="1">L227/Cost_Ingredients!$J$21</f>
        <v>0</v>
      </c>
      <c r="O227" s="163">
        <f ca="1">M227/Cost_Ingredients!$J$21</f>
        <v>0</v>
      </c>
      <c r="P227" s="151"/>
    </row>
    <row r="228" spans="4:16" s="23" customFormat="1" ht="14.4" customHeight="1" outlineLevel="1">
      <c r="D228" s="746">
        <v>1</v>
      </c>
      <c r="E228" s="747"/>
      <c r="F228" s="747"/>
      <c r="G228" s="748"/>
      <c r="H228" s="151"/>
      <c r="I228" s="159">
        <f ca="1">OFFSET(Cost_Ingredients!$M$117,$D228,0)</f>
        <v>0</v>
      </c>
      <c r="J228" s="64"/>
      <c r="L228" s="162">
        <f ca="1">OFFSET(Cost_Ingredients!$N$117,$D228,0)*$J228</f>
        <v>0</v>
      </c>
      <c r="M228" s="162">
        <f ca="1">OFFSET(Cost_Ingredients!$O$117,$D228,0)*$J228</f>
        <v>0</v>
      </c>
      <c r="N228" s="163">
        <f ca="1">L228/Cost_Ingredients!$J$21</f>
        <v>0</v>
      </c>
      <c r="O228" s="163">
        <f ca="1">M228/Cost_Ingredients!$J$21</f>
        <v>0</v>
      </c>
      <c r="P228" s="151"/>
    </row>
    <row r="229" spans="4:16" s="23" customFormat="1" ht="14.4" customHeight="1" outlineLevel="1">
      <c r="D229" s="746">
        <v>1</v>
      </c>
      <c r="E229" s="747"/>
      <c r="F229" s="747"/>
      <c r="G229" s="748"/>
      <c r="H229" s="151"/>
      <c r="I229" s="159">
        <f ca="1">OFFSET(Cost_Ingredients!$M$117,$D229,0)</f>
        <v>0</v>
      </c>
      <c r="J229" s="64"/>
      <c r="L229" s="162">
        <f ca="1">OFFSET(Cost_Ingredients!$N$117,$D229,0)*$J229</f>
        <v>0</v>
      </c>
      <c r="M229" s="162">
        <f ca="1">OFFSET(Cost_Ingredients!$O$117,$D229,0)*$J229</f>
        <v>0</v>
      </c>
      <c r="N229" s="163">
        <f ca="1">L229/Cost_Ingredients!$J$21</f>
        <v>0</v>
      </c>
      <c r="O229" s="163">
        <f ca="1">M229/Cost_Ingredients!$J$21</f>
        <v>0</v>
      </c>
      <c r="P229" s="151"/>
    </row>
    <row r="230" spans="4:16" s="23" customFormat="1" ht="14.4" customHeight="1" outlineLevel="1">
      <c r="D230" s="746">
        <v>1</v>
      </c>
      <c r="E230" s="747"/>
      <c r="F230" s="747"/>
      <c r="G230" s="748"/>
      <c r="H230" s="151"/>
      <c r="I230" s="159">
        <f ca="1">OFFSET(Cost_Ingredients!$M$117,$D230,0)</f>
        <v>0</v>
      </c>
      <c r="J230" s="64"/>
      <c r="L230" s="162">
        <f ca="1">OFFSET(Cost_Ingredients!$N$117,$D230,0)*$J230</f>
        <v>0</v>
      </c>
      <c r="M230" s="162">
        <f ca="1">OFFSET(Cost_Ingredients!$O$117,$D230,0)*$J230</f>
        <v>0</v>
      </c>
      <c r="N230" s="163">
        <f ca="1">L230/Cost_Ingredients!$J$21</f>
        <v>0</v>
      </c>
      <c r="O230" s="163">
        <f ca="1">M230/Cost_Ingredients!$J$21</f>
        <v>0</v>
      </c>
      <c r="P230" s="151"/>
    </row>
    <row r="231" spans="4:16" s="23" customFormat="1" ht="14.4" customHeight="1" outlineLevel="1">
      <c r="D231" s="746">
        <v>1</v>
      </c>
      <c r="E231" s="747"/>
      <c r="F231" s="747"/>
      <c r="G231" s="748"/>
      <c r="H231" s="151"/>
      <c r="I231" s="159">
        <f ca="1">OFFSET(Cost_Ingredients!$M$117,$D231,0)</f>
        <v>0</v>
      </c>
      <c r="J231" s="64">
        <v>0</v>
      </c>
      <c r="L231" s="162">
        <f ca="1">OFFSET(Cost_Ingredients!$N$117,$D231,0)*$J231</f>
        <v>0</v>
      </c>
      <c r="M231" s="162">
        <f ca="1">OFFSET(Cost_Ingredients!$O$117,$D231,0)*$J231</f>
        <v>0</v>
      </c>
      <c r="N231" s="163">
        <f ca="1">L231/Cost_Ingredients!$J$21</f>
        <v>0</v>
      </c>
      <c r="O231" s="163">
        <f ca="1">M231/Cost_Ingredients!$J$21</f>
        <v>0</v>
      </c>
      <c r="P231" s="151"/>
    </row>
    <row r="232" spans="4:16" s="23" customFormat="1" ht="14.4" customHeight="1" outlineLevel="1">
      <c r="D232" s="746">
        <v>1</v>
      </c>
      <c r="E232" s="747"/>
      <c r="F232" s="747"/>
      <c r="G232" s="748"/>
      <c r="H232" s="151"/>
      <c r="I232" s="159">
        <f ca="1">OFFSET(Cost_Ingredients!$M$117,$D232,0)</f>
        <v>0</v>
      </c>
      <c r="J232" s="64">
        <v>0</v>
      </c>
      <c r="L232" s="162">
        <f ca="1">OFFSET(Cost_Ingredients!$N$117,$D232,0)*$J232</f>
        <v>0</v>
      </c>
      <c r="M232" s="162">
        <f ca="1">OFFSET(Cost_Ingredients!$O$117,$D232,0)*$J232</f>
        <v>0</v>
      </c>
      <c r="N232" s="163">
        <f ca="1">L232/Cost_Ingredients!$J$21</f>
        <v>0</v>
      </c>
      <c r="O232" s="163">
        <f ca="1">M232/Cost_Ingredients!$J$21</f>
        <v>0</v>
      </c>
      <c r="P232" s="151"/>
    </row>
    <row r="233" spans="4:16" s="23" customFormat="1" ht="14.4" customHeight="1" outlineLevel="1">
      <c r="D233" s="746">
        <v>1</v>
      </c>
      <c r="E233" s="747"/>
      <c r="F233" s="747"/>
      <c r="G233" s="748"/>
      <c r="H233" s="151"/>
      <c r="I233" s="159">
        <f ca="1">OFFSET(Cost_Ingredients!$M$117,$D233,0)</f>
        <v>0</v>
      </c>
      <c r="J233" s="64">
        <v>0</v>
      </c>
      <c r="L233" s="162">
        <f ca="1">OFFSET(Cost_Ingredients!$N$117,$D233,0)*$J233</f>
        <v>0</v>
      </c>
      <c r="M233" s="162">
        <f ca="1">OFFSET(Cost_Ingredients!$O$117,$D233,0)*$J233</f>
        <v>0</v>
      </c>
      <c r="N233" s="163">
        <f ca="1">L233/Cost_Ingredients!$J$21</f>
        <v>0</v>
      </c>
      <c r="O233" s="163">
        <f ca="1">M233/Cost_Ingredients!$J$21</f>
        <v>0</v>
      </c>
      <c r="P233" s="151"/>
    </row>
    <row r="234" spans="4:16" s="23" customFormat="1" ht="14.4" customHeight="1" outlineLevel="1">
      <c r="D234" s="746">
        <v>1</v>
      </c>
      <c r="E234" s="747"/>
      <c r="F234" s="747"/>
      <c r="G234" s="748"/>
      <c r="H234" s="151"/>
      <c r="I234" s="159">
        <f ca="1">OFFSET(Cost_Ingredients!$M$117,$D234,0)</f>
        <v>0</v>
      </c>
      <c r="J234" s="64">
        <v>0</v>
      </c>
      <c r="L234" s="162">
        <f ca="1">OFFSET(Cost_Ingredients!$N$117,$D234,0)*$J234</f>
        <v>0</v>
      </c>
      <c r="M234" s="162">
        <f ca="1">OFFSET(Cost_Ingredients!$O$117,$D234,0)*$J234</f>
        <v>0</v>
      </c>
      <c r="N234" s="163">
        <f ca="1">L234/Cost_Ingredients!$J$21</f>
        <v>0</v>
      </c>
      <c r="O234" s="163">
        <f ca="1">M234/Cost_Ingredients!$J$21</f>
        <v>0</v>
      </c>
      <c r="P234" s="151"/>
    </row>
    <row r="235" spans="4:16" s="23" customFormat="1" ht="14.4" customHeight="1" outlineLevel="1">
      <c r="D235" s="746">
        <v>1</v>
      </c>
      <c r="E235" s="747"/>
      <c r="F235" s="747"/>
      <c r="G235" s="748"/>
      <c r="H235" s="151"/>
      <c r="I235" s="159">
        <f ca="1">OFFSET(Cost_Ingredients!$M$117,$D235,0)</f>
        <v>0</v>
      </c>
      <c r="J235" s="64">
        <v>0</v>
      </c>
      <c r="L235" s="162">
        <f ca="1">OFFSET(Cost_Ingredients!$N$117,$D235,0)*$J235</f>
        <v>0</v>
      </c>
      <c r="M235" s="162">
        <f ca="1">OFFSET(Cost_Ingredients!$O$117,$D235,0)*$J235</f>
        <v>0</v>
      </c>
      <c r="N235" s="163">
        <f ca="1">L235/Cost_Ingredients!$J$21</f>
        <v>0</v>
      </c>
      <c r="O235" s="163">
        <f ca="1">M235/Cost_Ingredients!$J$21</f>
        <v>0</v>
      </c>
      <c r="P235" s="151"/>
    </row>
    <row r="236" spans="4:16" s="23" customFormat="1" ht="14.4" customHeight="1" outlineLevel="1">
      <c r="D236" s="746">
        <v>1</v>
      </c>
      <c r="E236" s="747"/>
      <c r="F236" s="747"/>
      <c r="G236" s="748"/>
      <c r="H236" s="151"/>
      <c r="I236" s="159">
        <f ca="1">OFFSET(Cost_Ingredients!$M$117,$D236,0)</f>
        <v>0</v>
      </c>
      <c r="J236" s="64">
        <v>0</v>
      </c>
      <c r="L236" s="162">
        <f ca="1">OFFSET(Cost_Ingredients!$N$117,$D236,0)*$J236</f>
        <v>0</v>
      </c>
      <c r="M236" s="162">
        <f ca="1">OFFSET(Cost_Ingredients!$O$117,$D236,0)*$J236</f>
        <v>0</v>
      </c>
      <c r="N236" s="163">
        <f ca="1">L236/Cost_Ingredients!$J$21</f>
        <v>0</v>
      </c>
      <c r="O236" s="163">
        <f ca="1">M236/Cost_Ingredients!$J$21</f>
        <v>0</v>
      </c>
      <c r="P236" s="151"/>
    </row>
    <row r="237" spans="4:16" s="23" customFormat="1" ht="14.4" customHeight="1" outlineLevel="1">
      <c r="D237" s="746">
        <v>1</v>
      </c>
      <c r="E237" s="747"/>
      <c r="F237" s="747"/>
      <c r="G237" s="748"/>
      <c r="H237" s="151"/>
      <c r="I237" s="159">
        <f ca="1">OFFSET(Cost_Ingredients!$M$117,$D237,0)</f>
        <v>0</v>
      </c>
      <c r="J237" s="64">
        <v>0</v>
      </c>
      <c r="L237" s="162">
        <f ca="1">OFFSET(Cost_Ingredients!$N$117,$D237,0)*$J237</f>
        <v>0</v>
      </c>
      <c r="M237" s="162">
        <f ca="1">OFFSET(Cost_Ingredients!$O$117,$D237,0)*$J237</f>
        <v>0</v>
      </c>
      <c r="N237" s="163">
        <f ca="1">L237/Cost_Ingredients!$J$21</f>
        <v>0</v>
      </c>
      <c r="O237" s="163">
        <f ca="1">M237/Cost_Ingredients!$J$21</f>
        <v>0</v>
      </c>
      <c r="P237" s="151"/>
    </row>
    <row r="238" spans="4:16" s="23" customFormat="1" ht="14.4" customHeight="1" outlineLevel="1">
      <c r="D238" s="746">
        <v>1</v>
      </c>
      <c r="E238" s="747"/>
      <c r="F238" s="747"/>
      <c r="G238" s="748"/>
      <c r="H238" s="151"/>
      <c r="I238" s="159">
        <f ca="1">OFFSET(Cost_Ingredients!$M$117,$D238,0)</f>
        <v>0</v>
      </c>
      <c r="J238" s="64">
        <v>0</v>
      </c>
      <c r="L238" s="162">
        <f ca="1">OFFSET(Cost_Ingredients!$N$117,$D238,0)*$J238</f>
        <v>0</v>
      </c>
      <c r="M238" s="162">
        <f ca="1">OFFSET(Cost_Ingredients!$O$117,$D238,0)*$J238</f>
        <v>0</v>
      </c>
      <c r="N238" s="163">
        <f ca="1">L238/Cost_Ingredients!$J$21</f>
        <v>0</v>
      </c>
      <c r="O238" s="163">
        <f ca="1">M238/Cost_Ingredients!$J$21</f>
        <v>0</v>
      </c>
      <c r="P238" s="151"/>
    </row>
    <row r="239" spans="4:16" s="23" customFormat="1" ht="14.4" customHeight="1" outlineLevel="1">
      <c r="D239" s="746">
        <v>1</v>
      </c>
      <c r="E239" s="747"/>
      <c r="F239" s="747"/>
      <c r="G239" s="748"/>
      <c r="H239" s="151"/>
      <c r="I239" s="159">
        <f ca="1">OFFSET(Cost_Ingredients!$M$117,$D239,0)</f>
        <v>0</v>
      </c>
      <c r="J239" s="64">
        <v>0</v>
      </c>
      <c r="L239" s="162">
        <f ca="1">OFFSET(Cost_Ingredients!$N$117,$D239,0)*$J239</f>
        <v>0</v>
      </c>
      <c r="M239" s="162">
        <f ca="1">OFFSET(Cost_Ingredients!$O$117,$D239,0)*$J239</f>
        <v>0</v>
      </c>
      <c r="N239" s="163">
        <f ca="1">L239/Cost_Ingredients!$J$21</f>
        <v>0</v>
      </c>
      <c r="O239" s="163">
        <f ca="1">M239/Cost_Ingredients!$J$21</f>
        <v>0</v>
      </c>
      <c r="P239" s="151"/>
    </row>
    <row r="240" spans="4:16" s="23" customFormat="1" outlineLevel="1">
      <c r="D240" s="746">
        <v>1</v>
      </c>
      <c r="E240" s="747"/>
      <c r="F240" s="747"/>
      <c r="G240" s="748"/>
      <c r="H240" s="172"/>
      <c r="I240" s="159">
        <f ca="1">OFFSET(Cost_Ingredients!$M$117,$D240,0)</f>
        <v>0</v>
      </c>
      <c r="J240" s="173">
        <v>0</v>
      </c>
      <c r="L240" s="162">
        <f ca="1">OFFSET(Cost_Ingredients!$N$117,$D240,0)*$J240</f>
        <v>0</v>
      </c>
      <c r="M240" s="162">
        <f ca="1">OFFSET(Cost_Ingredients!$O$117,$D240,0)*$J240</f>
        <v>0</v>
      </c>
      <c r="N240" s="163">
        <f ca="1">L240/Cost_Ingredients!$J$21</f>
        <v>0</v>
      </c>
      <c r="O240" s="163">
        <f ca="1">M240/Cost_Ingredients!$J$21</f>
        <v>0</v>
      </c>
      <c r="P240" s="172"/>
    </row>
    <row r="241" spans="3:16" s="23" customFormat="1">
      <c r="D241" s="754" t="str">
        <f>"Subtotal - "&amp;C224</f>
        <v>Subtotal - Supplies &amp; Materials</v>
      </c>
      <c r="E241" s="755"/>
      <c r="F241" s="755"/>
      <c r="G241" s="755"/>
      <c r="H241" s="156"/>
      <c r="I241" s="156"/>
      <c r="J241" s="69"/>
      <c r="L241" s="255">
        <f ca="1">SUM(L226:L240)</f>
        <v>1</v>
      </c>
      <c r="M241" s="255">
        <f ca="1">SUM(M226:M240)</f>
        <v>6</v>
      </c>
      <c r="N241" s="258">
        <f ca="1">SUM(N226:N240)</f>
        <v>6.6666666666666671E-3</v>
      </c>
      <c r="O241" s="258">
        <f ca="1">SUM(O226:O240)</f>
        <v>0.04</v>
      </c>
      <c r="P241" s="156"/>
    </row>
    <row r="242" spans="3:16">
      <c r="I242" s="23"/>
      <c r="K242" s="23"/>
      <c r="L242" s="23"/>
      <c r="M242" s="23"/>
      <c r="N242" s="23"/>
      <c r="O242" s="23"/>
    </row>
    <row r="243" spans="3:16">
      <c r="C243" s="153" t="str">
        <f>FLU_LU!$D$281</f>
        <v>Other Direct Costs (Recurrent)</v>
      </c>
      <c r="I243" s="23"/>
      <c r="K243" s="23"/>
      <c r="L243" s="23"/>
      <c r="M243" s="23"/>
      <c r="N243" s="23"/>
      <c r="O243" s="23"/>
    </row>
    <row r="244" spans="3:16" ht="28.8" outlineLevel="1">
      <c r="D244" s="733" t="s">
        <v>100</v>
      </c>
      <c r="E244" s="733"/>
      <c r="F244" s="733"/>
      <c r="G244" s="733"/>
      <c r="H244" s="142" t="s">
        <v>274</v>
      </c>
      <c r="I244" s="72" t="s">
        <v>275</v>
      </c>
      <c r="J244" s="152" t="s">
        <v>67</v>
      </c>
      <c r="K244" s="23"/>
      <c r="L244" s="28" t="str">
        <f>"Financial Price ("&amp;FLU_LU!$D$79&amp;")"</f>
        <v>Financial Price (GOZ)</v>
      </c>
      <c r="M244" s="28" t="str">
        <f>"Economic Price ("&amp;FLU_LU!$D$79&amp;")"</f>
        <v>Economic Price (GOZ)</v>
      </c>
      <c r="N244" s="28" t="str">
        <f>"Financial Price ("&amp;FLU_LU!$D$78&amp;")"</f>
        <v>Financial Price (USD)</v>
      </c>
      <c r="O244" s="28" t="str">
        <f>"Economic Price ("&amp;FLU_LU!$D$78&amp;")"</f>
        <v>Economic Price (USD)</v>
      </c>
      <c r="P244" s="152" t="s">
        <v>68</v>
      </c>
    </row>
    <row r="245" spans="3:16" s="23" customFormat="1" outlineLevel="1">
      <c r="D245" s="746">
        <v>2</v>
      </c>
      <c r="E245" s="747"/>
      <c r="F245" s="747"/>
      <c r="G245" s="748"/>
      <c r="H245" s="151"/>
      <c r="I245" s="159" t="str">
        <f ca="1">OFFSET(Cost_Ingredients!$M$146,$D245,0)</f>
        <v>litre</v>
      </c>
      <c r="J245" s="64">
        <v>5</v>
      </c>
      <c r="L245" s="162">
        <f ca="1">OFFSET(Cost_Ingredients!$N$146,$D245,0)*$J245</f>
        <v>850</v>
      </c>
      <c r="M245" s="162">
        <f ca="1">OFFSET(Cost_Ingredients!$O$146,$D245,0)*$J245</f>
        <v>850</v>
      </c>
      <c r="N245" s="163">
        <f ca="1">L245/Cost_Ingredients!$J$21</f>
        <v>5.666666666666667</v>
      </c>
      <c r="O245" s="163">
        <f ca="1">M245/Cost_Ingredients!$J$21</f>
        <v>5.666666666666667</v>
      </c>
      <c r="P245" s="151"/>
    </row>
    <row r="246" spans="3:16" s="23" customFormat="1" outlineLevel="1">
      <c r="D246" s="746">
        <v>1</v>
      </c>
      <c r="E246" s="747"/>
      <c r="F246" s="747"/>
      <c r="G246" s="748"/>
      <c r="H246" s="151"/>
      <c r="I246" s="159">
        <f ca="1">OFFSET(Cost_Ingredients!$M$146,$D246,0)</f>
        <v>0</v>
      </c>
      <c r="J246" s="64">
        <v>0</v>
      </c>
      <c r="L246" s="162">
        <f ca="1">OFFSET(Cost_Ingredients!$N$146,$D246,0)*$J246</f>
        <v>0</v>
      </c>
      <c r="M246" s="162">
        <f ca="1">OFFSET(Cost_Ingredients!$O$146,$D246,0)*$J246</f>
        <v>0</v>
      </c>
      <c r="N246" s="163">
        <f ca="1">L246/Cost_Ingredients!$J$21</f>
        <v>0</v>
      </c>
      <c r="O246" s="163">
        <f ca="1">M246/Cost_Ingredients!$J$21</f>
        <v>0</v>
      </c>
      <c r="P246" s="151"/>
    </row>
    <row r="247" spans="3:16" s="23" customFormat="1" outlineLevel="1">
      <c r="D247" s="746">
        <v>1</v>
      </c>
      <c r="E247" s="747"/>
      <c r="F247" s="747"/>
      <c r="G247" s="748"/>
      <c r="H247" s="151"/>
      <c r="I247" s="159">
        <f ca="1">OFFSET(Cost_Ingredients!$M$146,$D247,0)</f>
        <v>0</v>
      </c>
      <c r="J247" s="64">
        <v>0</v>
      </c>
      <c r="L247" s="162">
        <f ca="1">OFFSET(Cost_Ingredients!$N$146,$D247,0)*$J247</f>
        <v>0</v>
      </c>
      <c r="M247" s="162">
        <f ca="1">OFFSET(Cost_Ingredients!$O$146,$D247,0)*$J247</f>
        <v>0</v>
      </c>
      <c r="N247" s="163">
        <f ca="1">L247/Cost_Ingredients!$J$21</f>
        <v>0</v>
      </c>
      <c r="O247" s="163">
        <f ca="1">M247/Cost_Ingredients!$J$21</f>
        <v>0</v>
      </c>
      <c r="P247" s="151"/>
    </row>
    <row r="248" spans="3:16" s="23" customFormat="1" outlineLevel="1">
      <c r="D248" s="746">
        <v>1</v>
      </c>
      <c r="E248" s="747"/>
      <c r="F248" s="747"/>
      <c r="G248" s="748"/>
      <c r="H248" s="151"/>
      <c r="I248" s="159">
        <f ca="1">OFFSET(Cost_Ingredients!$M$146,$D248,0)</f>
        <v>0</v>
      </c>
      <c r="J248" s="64">
        <v>0</v>
      </c>
      <c r="L248" s="162">
        <f ca="1">OFFSET(Cost_Ingredients!$N$146,$D248,0)*$J248</f>
        <v>0</v>
      </c>
      <c r="M248" s="162">
        <f ca="1">OFFSET(Cost_Ingredients!$O$146,$D248,0)*$J248</f>
        <v>0</v>
      </c>
      <c r="N248" s="163">
        <f ca="1">L248/Cost_Ingredients!$J$21</f>
        <v>0</v>
      </c>
      <c r="O248" s="163">
        <f ca="1">M248/Cost_Ingredients!$J$21</f>
        <v>0</v>
      </c>
      <c r="P248" s="151"/>
    </row>
    <row r="249" spans="3:16" s="23" customFormat="1" outlineLevel="1">
      <c r="D249" s="746">
        <v>1</v>
      </c>
      <c r="E249" s="747"/>
      <c r="F249" s="747"/>
      <c r="G249" s="748"/>
      <c r="H249" s="151"/>
      <c r="I249" s="159">
        <f ca="1">OFFSET(Cost_Ingredients!$M$146,$D249,0)</f>
        <v>0</v>
      </c>
      <c r="J249" s="64">
        <v>0</v>
      </c>
      <c r="L249" s="162">
        <f ca="1">OFFSET(Cost_Ingredients!$N$146,$D249,0)*$J249</f>
        <v>0</v>
      </c>
      <c r="M249" s="162">
        <f ca="1">OFFSET(Cost_Ingredients!$O$146,$D249,0)*$J249</f>
        <v>0</v>
      </c>
      <c r="N249" s="163">
        <f ca="1">L249/Cost_Ingredients!$J$21</f>
        <v>0</v>
      </c>
      <c r="O249" s="163">
        <f ca="1">M249/Cost_Ingredients!$J$21</f>
        <v>0</v>
      </c>
      <c r="P249" s="151"/>
    </row>
    <row r="250" spans="3:16" s="23" customFormat="1" outlineLevel="1">
      <c r="D250" s="746">
        <v>1</v>
      </c>
      <c r="E250" s="747"/>
      <c r="F250" s="747"/>
      <c r="G250" s="748"/>
      <c r="H250" s="151"/>
      <c r="I250" s="159">
        <f ca="1">OFFSET(Cost_Ingredients!$M$146,$D250,0)</f>
        <v>0</v>
      </c>
      <c r="J250" s="64">
        <v>0</v>
      </c>
      <c r="L250" s="162">
        <f ca="1">OFFSET(Cost_Ingredients!$N$146,$D250,0)*$J250</f>
        <v>0</v>
      </c>
      <c r="M250" s="162">
        <f ca="1">OFFSET(Cost_Ingredients!$O$146,$D250,0)*$J250</f>
        <v>0</v>
      </c>
      <c r="N250" s="163">
        <f ca="1">L250/Cost_Ingredients!$J$21</f>
        <v>0</v>
      </c>
      <c r="O250" s="163">
        <f ca="1">M250/Cost_Ingredients!$J$21</f>
        <v>0</v>
      </c>
      <c r="P250" s="151"/>
    </row>
    <row r="251" spans="3:16" s="23" customFormat="1" outlineLevel="1">
      <c r="D251" s="746">
        <v>1</v>
      </c>
      <c r="E251" s="747"/>
      <c r="F251" s="747"/>
      <c r="G251" s="748"/>
      <c r="H251" s="151"/>
      <c r="I251" s="159">
        <f ca="1">OFFSET(Cost_Ingredients!$M$146,$D251,0)</f>
        <v>0</v>
      </c>
      <c r="J251" s="64">
        <v>0</v>
      </c>
      <c r="L251" s="162">
        <f ca="1">OFFSET(Cost_Ingredients!$N$146,$D251,0)*$J251</f>
        <v>0</v>
      </c>
      <c r="M251" s="162">
        <f ca="1">OFFSET(Cost_Ingredients!$O$146,$D251,0)*$J251</f>
        <v>0</v>
      </c>
      <c r="N251" s="163">
        <f ca="1">L251/Cost_Ingredients!$J$21</f>
        <v>0</v>
      </c>
      <c r="O251" s="163">
        <f ca="1">M251/Cost_Ingredients!$J$21</f>
        <v>0</v>
      </c>
      <c r="P251" s="151"/>
    </row>
    <row r="252" spans="3:16" s="23" customFormat="1" outlineLevel="1">
      <c r="D252" s="746">
        <v>1</v>
      </c>
      <c r="E252" s="747"/>
      <c r="F252" s="747"/>
      <c r="G252" s="748"/>
      <c r="H252" s="151"/>
      <c r="I252" s="159">
        <f ca="1">OFFSET(Cost_Ingredients!$M$146,$D252,0)</f>
        <v>0</v>
      </c>
      <c r="J252" s="64">
        <v>0</v>
      </c>
      <c r="L252" s="162">
        <f ca="1">OFFSET(Cost_Ingredients!$N$146,$D252,0)*$J252</f>
        <v>0</v>
      </c>
      <c r="M252" s="162">
        <f ca="1">OFFSET(Cost_Ingredients!$O$146,$D252,0)*$J252</f>
        <v>0</v>
      </c>
      <c r="N252" s="163">
        <f ca="1">L252/Cost_Ingredients!$J$21</f>
        <v>0</v>
      </c>
      <c r="O252" s="163">
        <f ca="1">M252/Cost_Ingredients!$J$21</f>
        <v>0</v>
      </c>
      <c r="P252" s="151"/>
    </row>
    <row r="253" spans="3:16" s="23" customFormat="1" outlineLevel="1">
      <c r="D253" s="746">
        <v>1</v>
      </c>
      <c r="E253" s="747"/>
      <c r="F253" s="747"/>
      <c r="G253" s="748"/>
      <c r="H253" s="151"/>
      <c r="I253" s="159">
        <f ca="1">OFFSET(Cost_Ingredients!$M$146,$D253,0)</f>
        <v>0</v>
      </c>
      <c r="J253" s="64">
        <v>0</v>
      </c>
      <c r="L253" s="162">
        <f ca="1">OFFSET(Cost_Ingredients!$N$146,$D253,0)*$J253</f>
        <v>0</v>
      </c>
      <c r="M253" s="162">
        <f ca="1">OFFSET(Cost_Ingredients!$O$146,$D253,0)*$J253</f>
        <v>0</v>
      </c>
      <c r="N253" s="163">
        <f ca="1">L253/Cost_Ingredients!$J$21</f>
        <v>0</v>
      </c>
      <c r="O253" s="163">
        <f ca="1">M253/Cost_Ingredients!$J$21</f>
        <v>0</v>
      </c>
      <c r="P253" s="151"/>
    </row>
    <row r="254" spans="3:16" s="23" customFormat="1" outlineLevel="1">
      <c r="D254" s="746">
        <v>1</v>
      </c>
      <c r="E254" s="747"/>
      <c r="F254" s="747"/>
      <c r="G254" s="748"/>
      <c r="H254" s="151"/>
      <c r="I254" s="159">
        <f ca="1">OFFSET(Cost_Ingredients!$M$146,$D254,0)</f>
        <v>0</v>
      </c>
      <c r="J254" s="64">
        <v>0</v>
      </c>
      <c r="L254" s="162">
        <f ca="1">OFFSET(Cost_Ingredients!$N$146,$D254,0)*$J254</f>
        <v>0</v>
      </c>
      <c r="M254" s="162">
        <f ca="1">OFFSET(Cost_Ingredients!$O$146,$D254,0)*$J254</f>
        <v>0</v>
      </c>
      <c r="N254" s="163">
        <f ca="1">L254/Cost_Ingredients!$J$21</f>
        <v>0</v>
      </c>
      <c r="O254" s="163">
        <f ca="1">M254/Cost_Ingredients!$J$21</f>
        <v>0</v>
      </c>
      <c r="P254" s="151"/>
    </row>
    <row r="255" spans="3:16" s="23" customFormat="1" outlineLevel="1">
      <c r="D255" s="746">
        <v>1</v>
      </c>
      <c r="E255" s="747"/>
      <c r="F255" s="747"/>
      <c r="G255" s="748"/>
      <c r="H255" s="151"/>
      <c r="I255" s="159">
        <f ca="1">OFFSET(Cost_Ingredients!$M$146,$D255,0)</f>
        <v>0</v>
      </c>
      <c r="J255" s="64">
        <v>0</v>
      </c>
      <c r="L255" s="162">
        <f ca="1">OFFSET(Cost_Ingredients!$N$146,$D255,0)*$J255</f>
        <v>0</v>
      </c>
      <c r="M255" s="162">
        <f ca="1">OFFSET(Cost_Ingredients!$O$146,$D255,0)*$J255</f>
        <v>0</v>
      </c>
      <c r="N255" s="163">
        <f ca="1">L255/Cost_Ingredients!$J$21</f>
        <v>0</v>
      </c>
      <c r="O255" s="163">
        <f ca="1">M255/Cost_Ingredients!$J$21</f>
        <v>0</v>
      </c>
      <c r="P255" s="151"/>
    </row>
    <row r="256" spans="3:16" s="23" customFormat="1" outlineLevel="1">
      <c r="D256" s="746">
        <v>1</v>
      </c>
      <c r="E256" s="747"/>
      <c r="F256" s="747"/>
      <c r="G256" s="748"/>
      <c r="H256" s="151"/>
      <c r="I256" s="159">
        <f ca="1">OFFSET(Cost_Ingredients!$M$146,$D256,0)</f>
        <v>0</v>
      </c>
      <c r="J256" s="64">
        <v>0</v>
      </c>
      <c r="L256" s="162">
        <f ca="1">OFFSET(Cost_Ingredients!$N$146,$D256,0)*$J256</f>
        <v>0</v>
      </c>
      <c r="M256" s="162">
        <f ca="1">OFFSET(Cost_Ingredients!$O$146,$D256,0)*$J256</f>
        <v>0</v>
      </c>
      <c r="N256" s="163">
        <f ca="1">L256/Cost_Ingredients!$J$21</f>
        <v>0</v>
      </c>
      <c r="O256" s="163">
        <f ca="1">M256/Cost_Ingredients!$J$21</f>
        <v>0</v>
      </c>
      <c r="P256" s="151"/>
    </row>
    <row r="257" spans="3:16" s="23" customFormat="1" outlineLevel="1">
      <c r="D257" s="746">
        <v>1</v>
      </c>
      <c r="E257" s="747"/>
      <c r="F257" s="747"/>
      <c r="G257" s="748"/>
      <c r="H257" s="151"/>
      <c r="I257" s="159">
        <f ca="1">OFFSET(Cost_Ingredients!$M$146,$D257,0)</f>
        <v>0</v>
      </c>
      <c r="J257" s="64">
        <v>0</v>
      </c>
      <c r="L257" s="162">
        <f ca="1">OFFSET(Cost_Ingredients!$N$146,$D257,0)*$J257</f>
        <v>0</v>
      </c>
      <c r="M257" s="162">
        <f ca="1">OFFSET(Cost_Ingredients!$O$146,$D257,0)*$J257</f>
        <v>0</v>
      </c>
      <c r="N257" s="163">
        <f ca="1">L257/Cost_Ingredients!$J$21</f>
        <v>0</v>
      </c>
      <c r="O257" s="163">
        <f ca="1">M257/Cost_Ingredients!$J$21</f>
        <v>0</v>
      </c>
      <c r="P257" s="151"/>
    </row>
    <row r="258" spans="3:16" s="23" customFormat="1" outlineLevel="1">
      <c r="D258" s="746">
        <v>1</v>
      </c>
      <c r="E258" s="747"/>
      <c r="F258" s="747"/>
      <c r="G258" s="748"/>
      <c r="H258" s="151"/>
      <c r="I258" s="159">
        <f ca="1">OFFSET(Cost_Ingredients!$M$146,$D258,0)</f>
        <v>0</v>
      </c>
      <c r="J258" s="64">
        <v>0</v>
      </c>
      <c r="L258" s="162">
        <f ca="1">OFFSET(Cost_Ingredients!$N$146,$D258,0)*$J258</f>
        <v>0</v>
      </c>
      <c r="M258" s="162">
        <f ca="1">OFFSET(Cost_Ingredients!$O$146,$D258,0)*$J258</f>
        <v>0</v>
      </c>
      <c r="N258" s="163">
        <f ca="1">L258/Cost_Ingredients!$J$21</f>
        <v>0</v>
      </c>
      <c r="O258" s="163">
        <f ca="1">M258/Cost_Ingredients!$J$21</f>
        <v>0</v>
      </c>
      <c r="P258" s="151"/>
    </row>
    <row r="259" spans="3:16" s="23" customFormat="1" outlineLevel="1">
      <c r="D259" s="746">
        <v>1</v>
      </c>
      <c r="E259" s="747"/>
      <c r="F259" s="747"/>
      <c r="G259" s="748"/>
      <c r="H259" s="172"/>
      <c r="I259" s="159">
        <f ca="1">OFFSET(Cost_Ingredients!$M$146,$D259,0)</f>
        <v>0</v>
      </c>
      <c r="J259" s="173">
        <v>0</v>
      </c>
      <c r="L259" s="162">
        <f ca="1">OFFSET(Cost_Ingredients!$N$146,$D259,0)*$J259</f>
        <v>0</v>
      </c>
      <c r="M259" s="162">
        <f ca="1">OFFSET(Cost_Ingredients!$O$146,$D259,0)*$J259</f>
        <v>0</v>
      </c>
      <c r="N259" s="163">
        <f ca="1">L259/Cost_Ingredients!$J$21</f>
        <v>0</v>
      </c>
      <c r="O259" s="163">
        <f ca="1">M259/Cost_Ingredients!$J$21</f>
        <v>0</v>
      </c>
      <c r="P259" s="172"/>
    </row>
    <row r="260" spans="3:16" s="23" customFormat="1">
      <c r="D260" s="754" t="str">
        <f>"Subtotal - "&amp;C243</f>
        <v>Subtotal - Other Direct Costs (Recurrent)</v>
      </c>
      <c r="E260" s="755"/>
      <c r="F260" s="755"/>
      <c r="G260" s="755"/>
      <c r="H260" s="156"/>
      <c r="I260" s="156"/>
      <c r="J260" s="69"/>
      <c r="L260" s="255">
        <f ca="1">SUM(L245:L259)</f>
        <v>850</v>
      </c>
      <c r="M260" s="255">
        <f ca="1">SUM(M245:M259)</f>
        <v>850</v>
      </c>
      <c r="N260" s="258">
        <f ca="1">SUM(N245:N259)</f>
        <v>5.666666666666667</v>
      </c>
      <c r="O260" s="258">
        <f ca="1">SUM(O245:O259)</f>
        <v>5.666666666666667</v>
      </c>
      <c r="P260" s="156"/>
    </row>
    <row r="261" spans="3:16">
      <c r="I261" s="23"/>
      <c r="K261" s="23"/>
      <c r="L261" s="23"/>
      <c r="M261" s="23"/>
      <c r="N261" s="23"/>
      <c r="O261" s="23"/>
    </row>
    <row r="262" spans="3:16" ht="15" thickBot="1">
      <c r="C262" s="70" t="str">
        <f>B180&amp;" -Cost per Activity"</f>
        <v>Detailed Costing [Available for Additional Microplanning Activity] -Cost per Activity</v>
      </c>
      <c r="I262" s="23"/>
      <c r="K262" s="23"/>
      <c r="L262" s="44">
        <f ca="1">SUM(L203,L222,L241,L260)</f>
        <v>22851</v>
      </c>
      <c r="M262" s="44">
        <f ca="1">SUM(M203,M222,M241,M260)</f>
        <v>33056.640909090907</v>
      </c>
      <c r="N262" s="74">
        <f ca="1">SUM(N203,N222,N241,N260)</f>
        <v>152.33999999999997</v>
      </c>
      <c r="O262" s="74">
        <f ca="1">SUM(O203,O222,O241,O260)</f>
        <v>220.37760606060601</v>
      </c>
    </row>
    <row r="263" spans="3:16" ht="15" thickTop="1">
      <c r="I263" s="23"/>
      <c r="K263" s="23"/>
      <c r="L263" s="23"/>
      <c r="M263" s="23"/>
      <c r="N263" s="23"/>
      <c r="O263" s="23"/>
    </row>
    <row r="264" spans="3:16">
      <c r="I264" s="23"/>
      <c r="K264" s="23"/>
      <c r="L264" s="23"/>
      <c r="M264" s="23"/>
      <c r="N264" s="23"/>
      <c r="O264" s="23"/>
    </row>
    <row r="265" spans="3:16">
      <c r="I265" s="23"/>
      <c r="K265" s="23"/>
      <c r="L265" s="23"/>
      <c r="M265" s="23"/>
      <c r="N265" s="23"/>
      <c r="O265" s="23"/>
    </row>
    <row r="266" spans="3:16">
      <c r="I266" s="23"/>
      <c r="K266" s="23"/>
      <c r="L266" s="23"/>
      <c r="M266" s="23"/>
      <c r="N266" s="23"/>
      <c r="O266" s="23"/>
    </row>
    <row r="267" spans="3:16">
      <c r="I267" s="23"/>
      <c r="K267" s="23"/>
      <c r="L267" s="23"/>
      <c r="M267" s="23"/>
      <c r="N267" s="23"/>
      <c r="O267" s="23"/>
    </row>
    <row r="268" spans="3:16">
      <c r="I268" s="23"/>
      <c r="K268" s="23"/>
      <c r="L268" s="23"/>
      <c r="M268" s="23"/>
      <c r="N268" s="23"/>
      <c r="O268" s="23"/>
    </row>
    <row r="269" spans="3:16">
      <c r="I269" s="23"/>
      <c r="K269" s="23"/>
      <c r="L269" s="23"/>
      <c r="M269" s="23"/>
      <c r="N269" s="23"/>
      <c r="O269" s="23"/>
    </row>
    <row r="270" spans="3:16">
      <c r="I270" s="23"/>
      <c r="K270" s="23"/>
      <c r="L270" s="23"/>
      <c r="M270" s="23"/>
      <c r="N270" s="23"/>
      <c r="O270" s="23"/>
    </row>
    <row r="271" spans="3:16">
      <c r="I271" s="23"/>
      <c r="K271" s="23"/>
      <c r="L271" s="23"/>
      <c r="M271" s="23"/>
      <c r="N271" s="23"/>
      <c r="O271" s="23"/>
    </row>
    <row r="272" spans="3:16">
      <c r="I272" s="23"/>
      <c r="K272" s="23"/>
      <c r="L272" s="23"/>
      <c r="M272" s="23"/>
      <c r="N272" s="23"/>
      <c r="O272" s="23"/>
    </row>
    <row r="273" spans="9:15">
      <c r="I273" s="23"/>
      <c r="K273" s="23"/>
      <c r="L273" s="23"/>
      <c r="M273" s="23"/>
      <c r="N273" s="23"/>
      <c r="O273" s="23"/>
    </row>
    <row r="274" spans="9:15">
      <c r="I274" s="23"/>
      <c r="K274" s="23"/>
      <c r="L274" s="23"/>
      <c r="M274" s="23"/>
      <c r="N274" s="23"/>
      <c r="O274" s="23"/>
    </row>
    <row r="275" spans="9:15">
      <c r="I275" s="23"/>
      <c r="K275" s="23"/>
      <c r="L275" s="23"/>
      <c r="M275" s="23"/>
      <c r="N275" s="23"/>
      <c r="O275" s="23"/>
    </row>
    <row r="276" spans="9:15">
      <c r="I276" s="23"/>
      <c r="K276" s="23"/>
      <c r="L276" s="23"/>
      <c r="M276" s="23"/>
      <c r="N276" s="23"/>
      <c r="O276" s="23"/>
    </row>
    <row r="277" spans="9:15">
      <c r="I277" s="23"/>
      <c r="K277" s="23"/>
      <c r="L277" s="23"/>
      <c r="M277" s="23"/>
      <c r="N277" s="23"/>
      <c r="O277" s="23"/>
    </row>
    <row r="278" spans="9:15">
      <c r="I278" s="23"/>
      <c r="K278" s="23"/>
      <c r="L278" s="23"/>
      <c r="M278" s="23"/>
      <c r="N278" s="23"/>
      <c r="O278" s="23"/>
    </row>
    <row r="279" spans="9:15">
      <c r="I279" s="23"/>
      <c r="K279" s="23"/>
      <c r="L279" s="23"/>
      <c r="M279" s="23"/>
      <c r="N279" s="23"/>
      <c r="O279" s="23"/>
    </row>
    <row r="280" spans="9:15">
      <c r="I280" s="23"/>
      <c r="K280" s="23"/>
      <c r="L280" s="23"/>
      <c r="M280" s="23"/>
      <c r="N280" s="23"/>
      <c r="O280" s="23"/>
    </row>
  </sheetData>
  <mergeCells count="253">
    <mergeCell ref="D237:G237"/>
    <mergeCell ref="D241:G241"/>
    <mergeCell ref="D244:G244"/>
    <mergeCell ref="D245:G245"/>
    <mergeCell ref="D246:G246"/>
    <mergeCell ref="D249:G249"/>
    <mergeCell ref="D252:G252"/>
    <mergeCell ref="D253:G253"/>
    <mergeCell ref="D248:G248"/>
    <mergeCell ref="D247:G247"/>
    <mergeCell ref="D250:G250"/>
    <mergeCell ref="D227:G227"/>
    <mergeCell ref="D230:G230"/>
    <mergeCell ref="D231:G231"/>
    <mergeCell ref="D232:G232"/>
    <mergeCell ref="D233:G233"/>
    <mergeCell ref="D234:G234"/>
    <mergeCell ref="D235:G235"/>
    <mergeCell ref="D236:G236"/>
    <mergeCell ref="D228:G228"/>
    <mergeCell ref="D229:G229"/>
    <mergeCell ref="H206:I206"/>
    <mergeCell ref="D214:G214"/>
    <mergeCell ref="D216:G216"/>
    <mergeCell ref="D217:G217"/>
    <mergeCell ref="D218:G218"/>
    <mergeCell ref="D219:G219"/>
    <mergeCell ref="D220:G220"/>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D207:G207"/>
    <mergeCell ref="D210:G210"/>
    <mergeCell ref="D208:G208"/>
    <mergeCell ref="H135:I135"/>
    <mergeCell ref="D143:G143"/>
    <mergeCell ref="D144:G144"/>
    <mergeCell ref="D162:G162"/>
    <mergeCell ref="D163:G163"/>
    <mergeCell ref="H182:P182"/>
    <mergeCell ref="D187:G187"/>
    <mergeCell ref="D188:G188"/>
    <mergeCell ref="D154:G154"/>
    <mergeCell ref="D164:G164"/>
    <mergeCell ref="D165:G165"/>
    <mergeCell ref="D166:G166"/>
    <mergeCell ref="D167:G167"/>
    <mergeCell ref="D146:G146"/>
    <mergeCell ref="D147:G147"/>
    <mergeCell ref="D148:G148"/>
    <mergeCell ref="D155:G155"/>
    <mergeCell ref="D149:G149"/>
    <mergeCell ref="D145:G145"/>
    <mergeCell ref="D142:G142"/>
    <mergeCell ref="D151:G151"/>
    <mergeCell ref="D156:G156"/>
    <mergeCell ref="D175:G175"/>
    <mergeCell ref="D170:G170"/>
    <mergeCell ref="H133:I133"/>
    <mergeCell ref="H97:P97"/>
    <mergeCell ref="H134:I134"/>
    <mergeCell ref="H121:I121"/>
    <mergeCell ref="H122:I122"/>
    <mergeCell ref="H123:I123"/>
    <mergeCell ref="H124:I124"/>
    <mergeCell ref="H125:I125"/>
    <mergeCell ref="H127:I127"/>
    <mergeCell ref="H128:I128"/>
    <mergeCell ref="H129:I129"/>
    <mergeCell ref="H130:I130"/>
    <mergeCell ref="H131:I131"/>
    <mergeCell ref="H126:I126"/>
    <mergeCell ref="D42:G42"/>
    <mergeCell ref="D61:G61"/>
    <mergeCell ref="D58:G58"/>
    <mergeCell ref="D59:G59"/>
    <mergeCell ref="D43:G43"/>
    <mergeCell ref="D55:G55"/>
    <mergeCell ref="D44:G44"/>
    <mergeCell ref="D48:G48"/>
    <mergeCell ref="H132:I132"/>
    <mergeCell ref="D114:G114"/>
    <mergeCell ref="D68:G68"/>
    <mergeCell ref="D75:G75"/>
    <mergeCell ref="D79:G79"/>
    <mergeCell ref="D107:G107"/>
    <mergeCell ref="D84:G84"/>
    <mergeCell ref="D102:G102"/>
    <mergeCell ref="D103:G103"/>
    <mergeCell ref="D104:G104"/>
    <mergeCell ref="D105:G105"/>
    <mergeCell ref="D106:G106"/>
    <mergeCell ref="D82:G82"/>
    <mergeCell ref="D80:G80"/>
    <mergeCell ref="D112:G112"/>
    <mergeCell ref="D113:G113"/>
    <mergeCell ref="H12:P12"/>
    <mergeCell ref="H36:I36"/>
    <mergeCell ref="H37:I37"/>
    <mergeCell ref="H38:I38"/>
    <mergeCell ref="H39:I39"/>
    <mergeCell ref="H40:I40"/>
    <mergeCell ref="H41:I41"/>
    <mergeCell ref="H42:I42"/>
    <mergeCell ref="H43:I43"/>
    <mergeCell ref="D85:G85"/>
    <mergeCell ref="D81:G81"/>
    <mergeCell ref="D86:G86"/>
    <mergeCell ref="D90:G90"/>
    <mergeCell ref="H44:I44"/>
    <mergeCell ref="H46:I46"/>
    <mergeCell ref="H45:I45"/>
    <mergeCell ref="H47:I47"/>
    <mergeCell ref="H48:I48"/>
    <mergeCell ref="H49:I49"/>
    <mergeCell ref="H50:I50"/>
    <mergeCell ref="D77:G77"/>
    <mergeCell ref="D78:G78"/>
    <mergeCell ref="D74:G74"/>
    <mergeCell ref="D65:G65"/>
    <mergeCell ref="D62:G62"/>
    <mergeCell ref="D76:G76"/>
    <mergeCell ref="D71:G71"/>
    <mergeCell ref="D63:G63"/>
    <mergeCell ref="D66:G66"/>
    <mergeCell ref="D67:G67"/>
    <mergeCell ref="D69:G69"/>
    <mergeCell ref="D47:G47"/>
    <mergeCell ref="D49:G49"/>
    <mergeCell ref="D46:G46"/>
    <mergeCell ref="D52:G52"/>
    <mergeCell ref="D60:G60"/>
    <mergeCell ref="D50:G50"/>
    <mergeCell ref="D225:G225"/>
    <mergeCell ref="D168:G168"/>
    <mergeCell ref="D199:G199"/>
    <mergeCell ref="D200:G200"/>
    <mergeCell ref="D215:G215"/>
    <mergeCell ref="D169:G169"/>
    <mergeCell ref="D87:G87"/>
    <mergeCell ref="D135:G135"/>
    <mergeCell ref="D129:G129"/>
    <mergeCell ref="D123:G123"/>
    <mergeCell ref="D127:G127"/>
    <mergeCell ref="D126:G126"/>
    <mergeCell ref="D150:G150"/>
    <mergeCell ref="D190:G190"/>
    <mergeCell ref="D191:G191"/>
    <mergeCell ref="D192:G192"/>
    <mergeCell ref="D193:G193"/>
    <mergeCell ref="D194:G194"/>
    <mergeCell ref="D195:G195"/>
    <mergeCell ref="D152:G152"/>
    <mergeCell ref="D171:G171"/>
    <mergeCell ref="D173:G173"/>
    <mergeCell ref="D111:G111"/>
    <mergeCell ref="D222:G222"/>
    <mergeCell ref="D160:G160"/>
    <mergeCell ref="D212:G212"/>
    <mergeCell ref="D209:G209"/>
    <mergeCell ref="D115:G115"/>
    <mergeCell ref="D134:G134"/>
    <mergeCell ref="D133:G133"/>
    <mergeCell ref="D132:G132"/>
    <mergeCell ref="D131:G131"/>
    <mergeCell ref="D211:G211"/>
    <mergeCell ref="D153:G153"/>
    <mergeCell ref="D172:G172"/>
    <mergeCell ref="D206:G206"/>
    <mergeCell ref="D141:G141"/>
    <mergeCell ref="D137:G137"/>
    <mergeCell ref="D124:G124"/>
    <mergeCell ref="D125:G125"/>
    <mergeCell ref="D189:G189"/>
    <mergeCell ref="D122:G122"/>
    <mergeCell ref="D121:G121"/>
    <mergeCell ref="D41:G41"/>
    <mergeCell ref="D56:G56"/>
    <mergeCell ref="D255:G255"/>
    <mergeCell ref="D256:G256"/>
    <mergeCell ref="D257:G257"/>
    <mergeCell ref="D258:G258"/>
    <mergeCell ref="D260:G260"/>
    <mergeCell ref="D17:G17"/>
    <mergeCell ref="D38:G38"/>
    <mergeCell ref="D39:G39"/>
    <mergeCell ref="D40:G40"/>
    <mergeCell ref="D51:G51"/>
    <mergeCell ref="D221:G221"/>
    <mergeCell ref="D254:G254"/>
    <mergeCell ref="D238:G238"/>
    <mergeCell ref="D239:G239"/>
    <mergeCell ref="D251:G251"/>
    <mergeCell ref="D201:G201"/>
    <mergeCell ref="D213:G213"/>
    <mergeCell ref="D196:G196"/>
    <mergeCell ref="D197:G197"/>
    <mergeCell ref="D198:G198"/>
    <mergeCell ref="D45:G45"/>
    <mergeCell ref="D226:G226"/>
    <mergeCell ref="B3:F3"/>
    <mergeCell ref="D18:G18"/>
    <mergeCell ref="D19:G19"/>
    <mergeCell ref="D20:G20"/>
    <mergeCell ref="D21:G21"/>
    <mergeCell ref="D22:G22"/>
    <mergeCell ref="D36:G36"/>
    <mergeCell ref="D37:G37"/>
    <mergeCell ref="D26:G26"/>
    <mergeCell ref="D25:G25"/>
    <mergeCell ref="D24:G24"/>
    <mergeCell ref="D23:G23"/>
    <mergeCell ref="D27:G27"/>
    <mergeCell ref="D28:G28"/>
    <mergeCell ref="D31:G31"/>
    <mergeCell ref="D29:G29"/>
    <mergeCell ref="D30:G30"/>
    <mergeCell ref="D32:G32"/>
    <mergeCell ref="H221:I221"/>
    <mergeCell ref="D240:G240"/>
    <mergeCell ref="D259:G259"/>
    <mergeCell ref="H51:I51"/>
    <mergeCell ref="D70:G70"/>
    <mergeCell ref="D89:G89"/>
    <mergeCell ref="D117:G117"/>
    <mergeCell ref="D136:G136"/>
    <mergeCell ref="H136:I136"/>
    <mergeCell ref="D174:G174"/>
    <mergeCell ref="D202:G202"/>
    <mergeCell ref="D64:G64"/>
    <mergeCell ref="D83:G83"/>
    <mergeCell ref="D116:G116"/>
    <mergeCell ref="D161:G161"/>
    <mergeCell ref="D57:G57"/>
    <mergeCell ref="D130:G130"/>
    <mergeCell ref="D128:G128"/>
    <mergeCell ref="D140:G140"/>
    <mergeCell ref="D159:G159"/>
    <mergeCell ref="D88:G88"/>
    <mergeCell ref="D108:G108"/>
    <mergeCell ref="D109:G109"/>
    <mergeCell ref="D110:G110"/>
  </mergeCells>
  <dataValidations count="7">
    <dataValidation type="decimal" operator="greaterThanOrEqual" allowBlank="1" showDropDown="1" showErrorMessage="1" errorTitle="Invalid Assumption" error="Assumption must be a value greater than or equal to zero." sqref="J245:J259 J226:J240 J188:J202 J160:J174 J141:J155 J103:J117 J75:J89 J56:J70 J18:J32" xr:uid="{00000000-0002-0000-1800-000000000000}">
      <formula1>0</formula1>
    </dataValidation>
    <dataValidation type="custom" showErrorMessage="1" errorTitle="Invalid Assumption" error="Assumption must be a number." sqref="J207:J221 J122:J136 J37:J51" xr:uid="{00000000-0002-0000-1800-000001000000}">
      <formula1>NOT(ISERROR(J37/1))</formula1>
    </dataValidation>
    <dataValidation type="whole" showDropDown="1" showErrorMessage="1" errorTitle="Drop Down Box Cell Link" error="The value in a drop down box cell link must be a whole number within the control's lookup range rows." sqref="D245:D259 D160:D174 D75:D89" xr:uid="{00000000-0002-0000-1800-000002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207:D221 D122:D136 D37:D51" xr:uid="{00000000-0002-0000-1800-000003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I188:I202 I103:I117 I18:I32" xr:uid="{00000000-0002-0000-1800-000004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226:D240 D141:D155 D56:D70" xr:uid="{00000000-0002-0000-1800-000005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D188:G202 D103:G117 D18:G32" xr:uid="{00000000-0002-0000-1800-000006000000}">
      <formula1>1</formula1>
      <formula2>ROWS(LU_FLU_RECC_PRICES_GROUP_A)</formula2>
    </dataValidation>
  </dataValidations>
  <hyperlinks>
    <hyperlink ref="A4" location="$B$5" tooltip="Go to Top of Sheet" display="$B$5" xr:uid="{00000000-0004-0000-1800-000000000000}"/>
    <hyperlink ref="C4" location="HL_Sheet_Main_24" tooltip="Go to Next Sheet" display="HL_Sheet_Main_24" xr:uid="{00000000-0004-0000-1800-000001000000}"/>
    <hyperlink ref="B4" location="HL_Sheet_Main_3" tooltip="Go to Previous Sheet" display="HL_Sheet_Main_3" xr:uid="{00000000-0004-0000-1800-000002000000}"/>
    <hyperlink ref="B3" location="HL_Home" tooltip="Go to Table of Contents" display="HL_Home" xr:uid="{00000000-0004-0000-1800-000003000000}"/>
    <hyperlink ref="D4" location="HL_Err_Chk" tooltip="Go to Error Checks" display="HL_Err_Chk" xr:uid="{00000000-0004-0000-1800-000004000000}"/>
    <hyperlink ref="E4" location="HL_Sens_Chk" tooltip="Go to Sensitivity Checks" display="HL_Sens_Chk" xr:uid="{00000000-0004-0000-1800-000005000000}"/>
    <hyperlink ref="F4" location="HL_Alt_Chk" tooltip="Go to Alert Checks" display="HL_Alt_Chk" xr:uid="{00000000-0004-0000-1800-000006000000}"/>
  </hyperlinks>
  <pageMargins left="0.4" right="0.4" top="0.6" bottom="1" header="0" footer="0.3"/>
  <pageSetup orientation="landscape" horizontalDpi="4294967292" verticalDpi="0" r:id="rId1"/>
  <headerFooter>
    <oddFooter>&amp;L&amp;F
&amp;A
Printed: &amp;T on &amp;D&amp;C&amp;",Bold"Sheet 3.1.a.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6431" r:id="rId4" name="bpmDropDownFLU1128">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226432" r:id="rId5" name="bpmDropDownFLU1129">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26433" r:id="rId6" name="bpmDropDownFLU1130">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226434" r:id="rId7" name="bpmDropDownFLU1131">
              <controlPr defaultSize="0" autoFill="0" autoPict="0">
                <anchor moveWithCells="1">
                  <from>
                    <xdr:col>3</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226435" r:id="rId8" name="bpmDropDownFLU1132">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26436" r:id="rId9" name="bpmDropDownFLU1133">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226437" r:id="rId10" name="bpmDropDownFLU1134">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226438" r:id="rId11" name="bpmDropDownFLU1135">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226440" r:id="rId12" name="bpmDropDownFLU1137">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226441" r:id="rId13" name="bpmDropDownFLU1138">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226442" r:id="rId14" name="bpmDropDownFLU1139">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26443" r:id="rId15" name="bpmDropDownFLU1140">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26444" r:id="rId16" name="bpmDropDownFLU1141">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226445" r:id="rId17" name="bpmDropDownFLU1142">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226476" r:id="rId18" name="bpmDropDownFLU1173">
              <controlPr defaultSize="0" autoFill="0" autoPict="0">
                <anchor moveWithCells="1">
                  <from>
                    <xdr:col>3</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226477" r:id="rId19" name="bpmDropDownFLU1174">
              <controlPr defaultSize="0" autoFill="0" autoPict="0">
                <anchor moveWithCells="1">
                  <from>
                    <xdr:col>3</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226478" r:id="rId20" name="bpmDropDownFLU1175">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226479" r:id="rId21" name="bpmDropDownFLU1176">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226480" r:id="rId22" name="bpmDropDownFLU1177">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226481" r:id="rId23" name="bpmDropDownFLU1178">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226482" r:id="rId24" name="bpmDropDownFLU1179">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226483" r:id="rId25" name="bpmDropDownFLU1180">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226485" r:id="rId26" name="bpmDropDownFLU1182">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226486" r:id="rId27" name="bpmDropDownFLU1183">
              <controlPr defaultSize="0" autoFill="0" autoPict="0">
                <anchor moveWithCells="1">
                  <from>
                    <xdr:col>3</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226487" r:id="rId28" name="bpmDropDownFLU1184">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226488" r:id="rId29" name="bpmDropDownFLU1185">
              <controlPr defaultSize="0" autoFill="0" autoPict="0">
                <anchor moveWithCells="1">
                  <from>
                    <xdr:col>3</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226489" r:id="rId30" name="bpmDropDownFLU1186">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226490" r:id="rId31" name="bpmDropDownFLU1187">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226626" r:id="rId32" name="bpmDropDownFLU1510">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26627" r:id="rId33" name="bpmDropDownFLU1511">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26628" r:id="rId34" name="bpmDropDownFLU1512">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226629" r:id="rId35" name="bpmDropDownFLU1513">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226630" r:id="rId36" name="bpmDropDownFLU1514">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26631" r:id="rId37" name="bpmDropDownFLU1515">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26632" r:id="rId38" name="bpmDropDownFLU1516">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226633" r:id="rId39" name="bpmDropDownFLU1517">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26635" r:id="rId40" name="bpmDropDownFLU1519">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26636" r:id="rId41" name="bpmDropDownFLU1520">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26637" r:id="rId42" name="bpmDropDownFLU1521">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226638" r:id="rId43" name="bpmDropDownFLU1522">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26639" r:id="rId44" name="bpmDropDownFLU1523">
              <controlPr defaultSize="0" autoFill="0" autoPict="0">
                <anchor moveWithCells="1">
                  <from>
                    <xdr:col>3</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6640" r:id="rId45" name="bpmDropDownFLU1524">
              <controlPr defaultSize="0" autoFill="0" autoPict="0">
                <anchor moveWithCells="1">
                  <from>
                    <xdr:col>3</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226656" r:id="rId46" name="bpmDropDownFLU1540">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26657" r:id="rId47" name="bpmDropDownFLU1541">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26658" r:id="rId48" name="bpmDropDownFLU1542">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26659" r:id="rId49" name="bpmDropDownFLU1543">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26660" r:id="rId50" name="bpmDropDownFLU1544">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26661" r:id="rId51" name="bpmDropDownFLU1545">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26662" r:id="rId52" name="bpmDropDownFLU1546">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26663" r:id="rId53" name="bpmDropDownFLU1547">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26665" r:id="rId54" name="bpmDropDownFLU1549">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26666" r:id="rId55" name="bpmDropDownFLU1550">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26667" r:id="rId56" name="bpmDropDownFLU1551">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26668" r:id="rId57" name="bpmDropDownFLU1552">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226669" r:id="rId58" name="bpmDropDownFLU1553">
              <controlPr defaultSize="0" autoFill="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226670" r:id="rId59" name="bpmDropDownFLU1554">
              <controlPr defaultSize="0" autoFill="0" autoPict="0">
                <anchor moveWithCells="1">
                  <from>
                    <xdr:col>8</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226671" r:id="rId60" name="bpmDropDownFLU1556">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226672" r:id="rId61" name="bpmDropDownFLU1557">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226673" r:id="rId62" name="bpmDropDownFLU1558">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226674" r:id="rId63" name="bpmDropDownFLU1559">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226675" r:id="rId64" name="bpmDropDownFLU1560">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226676" r:id="rId65" name="bpmDropDownFLU1561">
              <controlPr defaultSize="0" autoFill="0" autoPict="0">
                <anchor moveWithCells="1">
                  <from>
                    <xdr:col>3</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226677" r:id="rId66" name="bpmDropDownFLU1562">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226678" r:id="rId67" name="bpmDropDownFLU1563">
              <controlPr defaultSize="0" autoFill="0" autoPict="0">
                <anchor moveWithCells="1">
                  <from>
                    <xdr:col>3</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226680" r:id="rId68" name="bpmDropDownFLU1565">
              <controlPr defaultSize="0" autoFill="0" autoPict="0">
                <anchor moveWithCells="1">
                  <from>
                    <xdr:col>3</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226681" r:id="rId69" name="bpmDropDownFLU1566">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226682" r:id="rId70" name="bpmDropDownFLU1567">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226683" r:id="rId71" name="bpmDropDownFLU1568">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226684" r:id="rId72" name="bpmDropDownFLU1569">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226685" r:id="rId73" name="bpmDropDownFLU1570">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226686" r:id="rId74" name="bpmDropDownFLU1571">
              <controlPr defaultSize="0" autoFill="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26687" r:id="rId75" name="bpmDropDownFLU1572">
              <controlPr defaultSize="0" autoFill="0" autoPict="0">
                <anchor moveWithCells="1">
                  <from>
                    <xdr:col>8</xdr:col>
                    <xdr:colOff>0</xdr:colOff>
                    <xdr:row>103</xdr:row>
                    <xdr:rowOff>0</xdr:rowOff>
                  </from>
                  <to>
                    <xdr:col>9</xdr:col>
                    <xdr:colOff>0</xdr:colOff>
                    <xdr:row>104</xdr:row>
                    <xdr:rowOff>0</xdr:rowOff>
                  </to>
                </anchor>
              </controlPr>
            </control>
          </mc:Choice>
        </mc:AlternateContent>
        <mc:AlternateContent xmlns:mc="http://schemas.openxmlformats.org/markup-compatibility/2006">
          <mc:Choice Requires="x14">
            <control shapeId="226688" r:id="rId76" name="bpmDropDownFLU1573">
              <controlPr defaultSize="0" autoFill="0" autoPict="0">
                <anchor moveWithCells="1">
                  <from>
                    <xdr:col>8</xdr:col>
                    <xdr:colOff>0</xdr:colOff>
                    <xdr:row>104</xdr:row>
                    <xdr:rowOff>0</xdr:rowOff>
                  </from>
                  <to>
                    <xdr:col>9</xdr:col>
                    <xdr:colOff>0</xdr:colOff>
                    <xdr:row>105</xdr:row>
                    <xdr:rowOff>0</xdr:rowOff>
                  </to>
                </anchor>
              </controlPr>
            </control>
          </mc:Choice>
        </mc:AlternateContent>
        <mc:AlternateContent xmlns:mc="http://schemas.openxmlformats.org/markup-compatibility/2006">
          <mc:Choice Requires="x14">
            <control shapeId="226689" r:id="rId77" name="bpmDropDownFLU1574">
              <controlPr defaultSize="0" autoFill="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226690" r:id="rId78" name="bpmDropDownFLU1575">
              <controlPr defaultSize="0" autoFill="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226691" r:id="rId79" name="bpmDropDownFLU1576">
              <controlPr defaultSize="0" autoFill="0" autoPict="0">
                <anchor moveWithCells="1">
                  <from>
                    <xdr:col>8</xdr:col>
                    <xdr:colOff>0</xdr:colOff>
                    <xdr:row>107</xdr:row>
                    <xdr:rowOff>0</xdr:rowOff>
                  </from>
                  <to>
                    <xdr:col>9</xdr:col>
                    <xdr:colOff>0</xdr:colOff>
                    <xdr:row>108</xdr:row>
                    <xdr:rowOff>0</xdr:rowOff>
                  </to>
                </anchor>
              </controlPr>
            </control>
          </mc:Choice>
        </mc:AlternateContent>
        <mc:AlternateContent xmlns:mc="http://schemas.openxmlformats.org/markup-compatibility/2006">
          <mc:Choice Requires="x14">
            <control shapeId="226692" r:id="rId80" name="bpmDropDownFLU1577">
              <controlPr defaultSize="0" autoFill="0" autoPict="0">
                <anchor moveWithCells="1">
                  <from>
                    <xdr:col>8</xdr:col>
                    <xdr:colOff>0</xdr:colOff>
                    <xdr:row>108</xdr:row>
                    <xdr:rowOff>0</xdr:rowOff>
                  </from>
                  <to>
                    <xdr:col>9</xdr:col>
                    <xdr:colOff>0</xdr:colOff>
                    <xdr:row>109</xdr:row>
                    <xdr:rowOff>0</xdr:rowOff>
                  </to>
                </anchor>
              </controlPr>
            </control>
          </mc:Choice>
        </mc:AlternateContent>
        <mc:AlternateContent xmlns:mc="http://schemas.openxmlformats.org/markup-compatibility/2006">
          <mc:Choice Requires="x14">
            <control shapeId="226693" r:id="rId81" name="bpmDropDownFLU1578">
              <controlPr defaultSize="0" autoFill="0" autoPict="0">
                <anchor moveWithCells="1">
                  <from>
                    <xdr:col>8</xdr:col>
                    <xdr:colOff>0</xdr:colOff>
                    <xdr:row>109</xdr:row>
                    <xdr:rowOff>0</xdr:rowOff>
                  </from>
                  <to>
                    <xdr:col>9</xdr:col>
                    <xdr:colOff>0</xdr:colOff>
                    <xdr:row>110</xdr:row>
                    <xdr:rowOff>0</xdr:rowOff>
                  </to>
                </anchor>
              </controlPr>
            </control>
          </mc:Choice>
        </mc:AlternateContent>
        <mc:AlternateContent xmlns:mc="http://schemas.openxmlformats.org/markup-compatibility/2006">
          <mc:Choice Requires="x14">
            <control shapeId="226695" r:id="rId82" name="bpmDropDownFLU1580">
              <controlPr defaultSize="0" autoFill="0" autoPict="0">
                <anchor moveWithCells="1">
                  <from>
                    <xdr:col>8</xdr:col>
                    <xdr:colOff>0</xdr:colOff>
                    <xdr:row>110</xdr:row>
                    <xdr:rowOff>0</xdr:rowOff>
                  </from>
                  <to>
                    <xdr:col>9</xdr:col>
                    <xdr:colOff>0</xdr:colOff>
                    <xdr:row>111</xdr:row>
                    <xdr:rowOff>0</xdr:rowOff>
                  </to>
                </anchor>
              </controlPr>
            </control>
          </mc:Choice>
        </mc:AlternateContent>
        <mc:AlternateContent xmlns:mc="http://schemas.openxmlformats.org/markup-compatibility/2006">
          <mc:Choice Requires="x14">
            <control shapeId="226696" r:id="rId83" name="bpmDropDownFLU1581">
              <controlPr defaultSize="0" autoFill="0" autoPict="0">
                <anchor moveWithCells="1">
                  <from>
                    <xdr:col>8</xdr:col>
                    <xdr:colOff>0</xdr:colOff>
                    <xdr:row>111</xdr:row>
                    <xdr:rowOff>0</xdr:rowOff>
                  </from>
                  <to>
                    <xdr:col>9</xdr:col>
                    <xdr:colOff>0</xdr:colOff>
                    <xdr:row>112</xdr:row>
                    <xdr:rowOff>0</xdr:rowOff>
                  </to>
                </anchor>
              </controlPr>
            </control>
          </mc:Choice>
        </mc:AlternateContent>
        <mc:AlternateContent xmlns:mc="http://schemas.openxmlformats.org/markup-compatibility/2006">
          <mc:Choice Requires="x14">
            <control shapeId="226697" r:id="rId84" name="bpmDropDownFLU1582">
              <controlPr defaultSize="0" autoFill="0" autoPict="0">
                <anchor moveWithCells="1">
                  <from>
                    <xdr:col>8</xdr:col>
                    <xdr:colOff>0</xdr:colOff>
                    <xdr:row>112</xdr:row>
                    <xdr:rowOff>0</xdr:rowOff>
                  </from>
                  <to>
                    <xdr:col>9</xdr:col>
                    <xdr:colOff>0</xdr:colOff>
                    <xdr:row>113</xdr:row>
                    <xdr:rowOff>0</xdr:rowOff>
                  </to>
                </anchor>
              </controlPr>
            </control>
          </mc:Choice>
        </mc:AlternateContent>
        <mc:AlternateContent xmlns:mc="http://schemas.openxmlformats.org/markup-compatibility/2006">
          <mc:Choice Requires="x14">
            <control shapeId="226698" r:id="rId85" name="bpmDropDownFLU1583">
              <controlPr defaultSize="0" autoFill="0" autoPict="0">
                <anchor moveWithCells="1">
                  <from>
                    <xdr:col>8</xdr:col>
                    <xdr:colOff>0</xdr:colOff>
                    <xdr:row>113</xdr:row>
                    <xdr:rowOff>0</xdr:rowOff>
                  </from>
                  <to>
                    <xdr:col>9</xdr:col>
                    <xdr:colOff>0</xdr:colOff>
                    <xdr:row>114</xdr:row>
                    <xdr:rowOff>0</xdr:rowOff>
                  </to>
                </anchor>
              </controlPr>
            </control>
          </mc:Choice>
        </mc:AlternateContent>
        <mc:AlternateContent xmlns:mc="http://schemas.openxmlformats.org/markup-compatibility/2006">
          <mc:Choice Requires="x14">
            <control shapeId="226699" r:id="rId86" name="bpmDropDownFLU1584">
              <controlPr defaultSize="0" autoFill="0" autoPict="0">
                <anchor moveWithCells="1">
                  <from>
                    <xdr:col>8</xdr:col>
                    <xdr:colOff>0</xdr:colOff>
                    <xdr:row>114</xdr:row>
                    <xdr:rowOff>0</xdr:rowOff>
                  </from>
                  <to>
                    <xdr:col>9</xdr:col>
                    <xdr:colOff>0</xdr:colOff>
                    <xdr:row>115</xdr:row>
                    <xdr:rowOff>0</xdr:rowOff>
                  </to>
                </anchor>
              </controlPr>
            </control>
          </mc:Choice>
        </mc:AlternateContent>
        <mc:AlternateContent xmlns:mc="http://schemas.openxmlformats.org/markup-compatibility/2006">
          <mc:Choice Requires="x14">
            <control shapeId="226700" r:id="rId87" name="bpmDropDownFLU1585">
              <controlPr defaultSize="0" autoFill="0" autoPict="0">
                <anchor moveWithCells="1">
                  <from>
                    <xdr:col>8</xdr:col>
                    <xdr:colOff>0</xdr:colOff>
                    <xdr:row>115</xdr:row>
                    <xdr:rowOff>0</xdr:rowOff>
                  </from>
                  <to>
                    <xdr:col>9</xdr:col>
                    <xdr:colOff>0</xdr:colOff>
                    <xdr:row>116</xdr:row>
                    <xdr:rowOff>0</xdr:rowOff>
                  </to>
                </anchor>
              </controlPr>
            </control>
          </mc:Choice>
        </mc:AlternateContent>
        <mc:AlternateContent xmlns:mc="http://schemas.openxmlformats.org/markup-compatibility/2006">
          <mc:Choice Requires="x14">
            <control shapeId="226701" r:id="rId88" name="bpmDropDownFLU1586">
              <controlPr defaultSize="0" autoFill="0" autoPict="0">
                <anchor moveWithCells="1">
                  <from>
                    <xdr:col>3</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226702" r:id="rId89" name="bpmDropDownFLU1587">
              <controlPr defaultSize="0" autoFill="0" autoPict="0">
                <anchor moveWithCells="1">
                  <from>
                    <xdr:col>3</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226703" r:id="rId90" name="bpmDropDownFLU1588">
              <controlPr defaultSize="0" autoFill="0" autoPict="0">
                <anchor moveWithCells="1">
                  <from>
                    <xdr:col>3</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226704" r:id="rId91" name="bpmDropDownFLU1589">
              <controlPr defaultSize="0" autoFill="0" autoPict="0">
                <anchor moveWithCells="1">
                  <from>
                    <xdr:col>3</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226705" r:id="rId92" name="bpmDropDownFLU1590">
              <controlPr defaultSize="0" autoFill="0" autoPict="0">
                <anchor moveWithCells="1">
                  <from>
                    <xdr:col>3</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226706" r:id="rId93" name="bpmDropDownFLU1591">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226707" r:id="rId94" name="bpmDropDownFLU1592">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226708" r:id="rId95" name="bpmDropDownFLU1593">
              <controlPr defaultSize="0" autoFill="0" autoPict="0">
                <anchor moveWithCells="1">
                  <from>
                    <xdr:col>3</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226710" r:id="rId96" name="bpmDropDownFLU1595">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226711" r:id="rId97" name="bpmDropDownFLU1596">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226712" r:id="rId98" name="bpmDropDownFLU1597">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226713" r:id="rId99" name="bpmDropDownFLU1598">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226714" r:id="rId100" name="bpmDropDownFLU1599">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226715" r:id="rId101" name="bpmDropDownFLU1600">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226716" r:id="rId102" name="bpmDropDownFLU1601">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226717" r:id="rId103" name="bpmDropDownFLU1602">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226718" r:id="rId104" name="bpmDropDownFLU1603">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226719" r:id="rId105" name="bpmDropDownFLU1604">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226720" r:id="rId106" name="bpmDropDownFLU1605">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226721" r:id="rId107" name="bpmDropDownFLU1606">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226722" r:id="rId108" name="bpmDropDownFLU1607">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226723" r:id="rId109" name="bpmDropDownFLU1608">
              <controlPr defaultSize="0" autoFill="0" autoPict="0">
                <anchor moveWithCells="1">
                  <from>
                    <xdr:col>3</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226725" r:id="rId110" name="bpmDropDownFLU1610">
              <controlPr defaultSize="0" autoFill="0" autoPict="0">
                <anchor moveWithCells="1">
                  <from>
                    <xdr:col>3</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226726" r:id="rId111" name="bpmDropDownFLU1611">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226727" r:id="rId112" name="bpmDropDownFLU1612">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226728" r:id="rId113" name="bpmDropDownFLU1613">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226729" r:id="rId114" name="bpmDropDownFLU1614">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226730" r:id="rId115" name="bpmDropDownFLU1615">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226731" r:id="rId116" name="bpmDropDownFLU1616">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226732" r:id="rId117" name="bpmDropDownFLU1617">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226733" r:id="rId118" name="bpmDropDownFLU1618">
              <controlPr defaultSize="0" autoFill="0" autoPict="0">
                <anchor moveWithCells="1">
                  <from>
                    <xdr:col>3</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226734" r:id="rId119" name="bpmDropDownFLU1619">
              <controlPr defaultSize="0" autoFill="0" autoPict="0">
                <anchor moveWithCells="1">
                  <from>
                    <xdr:col>3</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226735" r:id="rId120" name="bpmDropDownFLU1620">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226736" r:id="rId121" name="bpmDropDownFLU1621">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226737" r:id="rId122" name="bpmDropDownFLU1622">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226738" r:id="rId123" name="bpmDropDownFLU1623">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226740" r:id="rId124" name="bpmDropDownFLU1625">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226741" r:id="rId125" name="bpmDropDownFLU1626">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226742" r:id="rId126" name="bpmDropDownFLU1627">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226743" r:id="rId127" name="bpmDropDownFLU1628">
              <controlPr defaultSize="0" autoFill="0" autoPict="0">
                <anchor moveWithCells="1">
                  <from>
                    <xdr:col>3</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226744" r:id="rId128" name="bpmDropDownFLU1629">
              <controlPr defaultSize="0" autoFill="0" autoPict="0">
                <anchor moveWithCells="1">
                  <from>
                    <xdr:col>3</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226745" r:id="rId129" name="bpmDropDownFLU1630">
              <controlPr defaultSize="0" autoFill="0" autoPict="0">
                <anchor moveWithCells="1">
                  <from>
                    <xdr:col>3</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226761" r:id="rId130" name="bpmDropDownFLU1646">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226762" r:id="rId131" name="bpmDropDownFLU1647">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226763" r:id="rId132" name="bpmDropDownFLU1648">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26764" r:id="rId133" name="bpmDropDownFLU1649">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226765" r:id="rId134" name="bpmDropDownFLU1650">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226766" r:id="rId135" name="bpmDropDownFLU1651">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226767" r:id="rId136" name="bpmDropDownFLU1652">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226768" r:id="rId137" name="bpmDropDownFLU1653">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226770" r:id="rId138" name="bpmDropDownFLU1655">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26771" r:id="rId139" name="bpmDropDownFLU1656">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226772" r:id="rId140" name="bpmDropDownFLU1657">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226773" r:id="rId141" name="bpmDropDownFLU1658">
              <controlPr defaultSize="0" autoFill="0" autoPict="0">
                <anchor moveWithCells="1">
                  <from>
                    <xdr:col>3</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226774" r:id="rId142" name="bpmDropDownFLU1659">
              <controlPr defaultSize="0" autoFill="0" autoPict="0">
                <anchor moveWithCells="1">
                  <from>
                    <xdr:col>3</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226775" r:id="rId143" name="bpmDropDownFLU1660">
              <controlPr defaultSize="0" autoFill="0" autoPict="0">
                <anchor moveWithCells="1">
                  <from>
                    <xdr:col>3</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226776" r:id="rId144" name="bpmDropDownFLU1661">
              <controlPr defaultSize="0" autoFill="0" autoPict="0">
                <anchor moveWithCells="1">
                  <from>
                    <xdr:col>3</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226777" r:id="rId145" name="bpmDropDownFLU1662">
              <controlPr defaultSize="0" autoFill="0" autoPict="0">
                <anchor moveWithCells="1">
                  <from>
                    <xdr:col>3</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226778" r:id="rId146" name="bpmDropDownFLU1663">
              <controlPr defaultSize="0" autoFill="0" autoPict="0">
                <anchor moveWithCells="1">
                  <from>
                    <xdr:col>3</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226779" r:id="rId147" name="bpmDropDownFLU1664">
              <controlPr defaultSize="0" autoFill="0" autoPict="0">
                <anchor moveWithCells="1">
                  <from>
                    <xdr:col>3</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226780" r:id="rId148" name="bpmDropDownFLU1665">
              <controlPr defaultSize="0" autoFill="0" autoPict="0">
                <anchor moveWithCells="1">
                  <from>
                    <xdr:col>3</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226781" r:id="rId149" name="bpmDropDownFLU1666">
              <controlPr defaultSize="0" autoFill="0" autoPict="0">
                <anchor moveWithCells="1">
                  <from>
                    <xdr:col>3</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226782" r:id="rId150" name="bpmDropDownFLU1667">
              <controlPr defaultSize="0" autoFill="0" autoPict="0">
                <anchor moveWithCells="1">
                  <from>
                    <xdr:col>3</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226783" r:id="rId151" name="bpmDropDownFLU1668">
              <controlPr defaultSize="0" autoFill="0" autoPict="0">
                <anchor moveWithCells="1">
                  <from>
                    <xdr:col>3</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226785" r:id="rId152" name="bpmDropDownFLU1670">
              <controlPr defaultSize="0" autoFill="0" autoPict="0">
                <anchor moveWithCells="1">
                  <from>
                    <xdr:col>3</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226786" r:id="rId153" name="bpmDropDownFLU1671">
              <controlPr defaultSize="0" autoFill="0" autoPict="0">
                <anchor moveWithCells="1">
                  <from>
                    <xdr:col>3</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226787" r:id="rId154" name="bpmDropDownFLU1672">
              <controlPr defaultSize="0" autoFill="0" autoPict="0">
                <anchor moveWithCells="1">
                  <from>
                    <xdr:col>3</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226788" r:id="rId155" name="bpmDropDownFLU1673">
              <controlPr defaultSize="0" autoFill="0" autoPict="0">
                <anchor moveWithCells="1">
                  <from>
                    <xdr:col>3</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226789" r:id="rId156" name="bpmDropDownFLU1674">
              <controlPr defaultSize="0" autoFill="0" autoPict="0">
                <anchor moveWithCells="1">
                  <from>
                    <xdr:col>3</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226790" r:id="rId157" name="bpmDropDownFLU1675">
              <controlPr defaultSize="0" autoFill="0" autoPict="0">
                <anchor moveWithCells="1">
                  <from>
                    <xdr:col>3</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226791" r:id="rId158" name="bpmDropDownFLU1676">
              <controlPr defaultSize="0" autoFill="0" autoPict="0">
                <anchor moveWithCells="1">
                  <from>
                    <xdr:col>8</xdr:col>
                    <xdr:colOff>0</xdr:colOff>
                    <xdr:row>187</xdr:row>
                    <xdr:rowOff>0</xdr:rowOff>
                  </from>
                  <to>
                    <xdr:col>9</xdr:col>
                    <xdr:colOff>0</xdr:colOff>
                    <xdr:row>188</xdr:row>
                    <xdr:rowOff>0</xdr:rowOff>
                  </to>
                </anchor>
              </controlPr>
            </control>
          </mc:Choice>
        </mc:AlternateContent>
        <mc:AlternateContent xmlns:mc="http://schemas.openxmlformats.org/markup-compatibility/2006">
          <mc:Choice Requires="x14">
            <control shapeId="226792" r:id="rId159" name="bpmDropDownFLU1677">
              <controlPr defaultSize="0" autoFill="0" autoPict="0">
                <anchor moveWithCells="1">
                  <from>
                    <xdr:col>8</xdr:col>
                    <xdr:colOff>0</xdr:colOff>
                    <xdr:row>188</xdr:row>
                    <xdr:rowOff>0</xdr:rowOff>
                  </from>
                  <to>
                    <xdr:col>9</xdr:col>
                    <xdr:colOff>0</xdr:colOff>
                    <xdr:row>189</xdr:row>
                    <xdr:rowOff>0</xdr:rowOff>
                  </to>
                </anchor>
              </controlPr>
            </control>
          </mc:Choice>
        </mc:AlternateContent>
        <mc:AlternateContent xmlns:mc="http://schemas.openxmlformats.org/markup-compatibility/2006">
          <mc:Choice Requires="x14">
            <control shapeId="226793" r:id="rId160" name="bpmDropDownFLU1678">
              <controlPr defaultSize="0" autoFill="0" autoPict="0">
                <anchor moveWithCells="1">
                  <from>
                    <xdr:col>8</xdr:col>
                    <xdr:colOff>0</xdr:colOff>
                    <xdr:row>189</xdr:row>
                    <xdr:rowOff>0</xdr:rowOff>
                  </from>
                  <to>
                    <xdr:col>9</xdr:col>
                    <xdr:colOff>0</xdr:colOff>
                    <xdr:row>190</xdr:row>
                    <xdr:rowOff>0</xdr:rowOff>
                  </to>
                </anchor>
              </controlPr>
            </control>
          </mc:Choice>
        </mc:AlternateContent>
        <mc:AlternateContent xmlns:mc="http://schemas.openxmlformats.org/markup-compatibility/2006">
          <mc:Choice Requires="x14">
            <control shapeId="226794" r:id="rId161" name="bpmDropDownFLU1679">
              <controlPr defaultSize="0" autoFill="0" autoPict="0">
                <anchor moveWithCells="1">
                  <from>
                    <xdr:col>8</xdr:col>
                    <xdr:colOff>0</xdr:colOff>
                    <xdr:row>190</xdr:row>
                    <xdr:rowOff>0</xdr:rowOff>
                  </from>
                  <to>
                    <xdr:col>9</xdr:col>
                    <xdr:colOff>0</xdr:colOff>
                    <xdr:row>191</xdr:row>
                    <xdr:rowOff>0</xdr:rowOff>
                  </to>
                </anchor>
              </controlPr>
            </control>
          </mc:Choice>
        </mc:AlternateContent>
        <mc:AlternateContent xmlns:mc="http://schemas.openxmlformats.org/markup-compatibility/2006">
          <mc:Choice Requires="x14">
            <control shapeId="226795" r:id="rId162" name="bpmDropDownFLU1680">
              <controlPr defaultSize="0" autoFill="0" autoPict="0">
                <anchor moveWithCells="1">
                  <from>
                    <xdr:col>8</xdr:col>
                    <xdr:colOff>0</xdr:colOff>
                    <xdr:row>191</xdr:row>
                    <xdr:rowOff>0</xdr:rowOff>
                  </from>
                  <to>
                    <xdr:col>9</xdr:col>
                    <xdr:colOff>0</xdr:colOff>
                    <xdr:row>192</xdr:row>
                    <xdr:rowOff>0</xdr:rowOff>
                  </to>
                </anchor>
              </controlPr>
            </control>
          </mc:Choice>
        </mc:AlternateContent>
        <mc:AlternateContent xmlns:mc="http://schemas.openxmlformats.org/markup-compatibility/2006">
          <mc:Choice Requires="x14">
            <control shapeId="226796" r:id="rId163" name="bpmDropDownFLU1681">
              <controlPr defaultSize="0" autoFill="0" autoPict="0">
                <anchor moveWithCells="1">
                  <from>
                    <xdr:col>8</xdr:col>
                    <xdr:colOff>0</xdr:colOff>
                    <xdr:row>192</xdr:row>
                    <xdr:rowOff>0</xdr:rowOff>
                  </from>
                  <to>
                    <xdr:col>9</xdr:col>
                    <xdr:colOff>0</xdr:colOff>
                    <xdr:row>193</xdr:row>
                    <xdr:rowOff>0</xdr:rowOff>
                  </to>
                </anchor>
              </controlPr>
            </control>
          </mc:Choice>
        </mc:AlternateContent>
        <mc:AlternateContent xmlns:mc="http://schemas.openxmlformats.org/markup-compatibility/2006">
          <mc:Choice Requires="x14">
            <control shapeId="226797" r:id="rId164" name="bpmDropDownFLU1682">
              <controlPr defaultSize="0" autoFill="0" autoPict="0">
                <anchor moveWithCells="1">
                  <from>
                    <xdr:col>8</xdr:col>
                    <xdr:colOff>0</xdr:colOff>
                    <xdr:row>193</xdr:row>
                    <xdr:rowOff>0</xdr:rowOff>
                  </from>
                  <to>
                    <xdr:col>9</xdr:col>
                    <xdr:colOff>0</xdr:colOff>
                    <xdr:row>194</xdr:row>
                    <xdr:rowOff>0</xdr:rowOff>
                  </to>
                </anchor>
              </controlPr>
            </control>
          </mc:Choice>
        </mc:AlternateContent>
        <mc:AlternateContent xmlns:mc="http://schemas.openxmlformats.org/markup-compatibility/2006">
          <mc:Choice Requires="x14">
            <control shapeId="226798" r:id="rId165" name="bpmDropDownFLU1683">
              <controlPr defaultSize="0" autoFill="0" autoPict="0">
                <anchor moveWithCells="1">
                  <from>
                    <xdr:col>8</xdr:col>
                    <xdr:colOff>0</xdr:colOff>
                    <xdr:row>194</xdr:row>
                    <xdr:rowOff>0</xdr:rowOff>
                  </from>
                  <to>
                    <xdr:col>9</xdr:col>
                    <xdr:colOff>0</xdr:colOff>
                    <xdr:row>195</xdr:row>
                    <xdr:rowOff>0</xdr:rowOff>
                  </to>
                </anchor>
              </controlPr>
            </control>
          </mc:Choice>
        </mc:AlternateContent>
        <mc:AlternateContent xmlns:mc="http://schemas.openxmlformats.org/markup-compatibility/2006">
          <mc:Choice Requires="x14">
            <control shapeId="226800" r:id="rId166" name="bpmDropDownFLU1685">
              <controlPr defaultSize="0" autoFill="0" autoPict="0">
                <anchor moveWithCells="1">
                  <from>
                    <xdr:col>8</xdr:col>
                    <xdr:colOff>0</xdr:colOff>
                    <xdr:row>195</xdr:row>
                    <xdr:rowOff>0</xdr:rowOff>
                  </from>
                  <to>
                    <xdr:col>9</xdr:col>
                    <xdr:colOff>0</xdr:colOff>
                    <xdr:row>196</xdr:row>
                    <xdr:rowOff>0</xdr:rowOff>
                  </to>
                </anchor>
              </controlPr>
            </control>
          </mc:Choice>
        </mc:AlternateContent>
        <mc:AlternateContent xmlns:mc="http://schemas.openxmlformats.org/markup-compatibility/2006">
          <mc:Choice Requires="x14">
            <control shapeId="226801" r:id="rId167" name="bpmDropDownFLU1686">
              <controlPr defaultSize="0" autoFill="0" autoPict="0">
                <anchor moveWithCells="1">
                  <from>
                    <xdr:col>8</xdr:col>
                    <xdr:colOff>0</xdr:colOff>
                    <xdr:row>196</xdr:row>
                    <xdr:rowOff>0</xdr:rowOff>
                  </from>
                  <to>
                    <xdr:col>9</xdr:col>
                    <xdr:colOff>0</xdr:colOff>
                    <xdr:row>197</xdr:row>
                    <xdr:rowOff>0</xdr:rowOff>
                  </to>
                </anchor>
              </controlPr>
            </control>
          </mc:Choice>
        </mc:AlternateContent>
        <mc:AlternateContent xmlns:mc="http://schemas.openxmlformats.org/markup-compatibility/2006">
          <mc:Choice Requires="x14">
            <control shapeId="226802" r:id="rId168" name="bpmDropDownFLU1687">
              <controlPr defaultSize="0" autoFill="0" autoPict="0">
                <anchor moveWithCells="1">
                  <from>
                    <xdr:col>8</xdr:col>
                    <xdr:colOff>0</xdr:colOff>
                    <xdr:row>197</xdr:row>
                    <xdr:rowOff>0</xdr:rowOff>
                  </from>
                  <to>
                    <xdr:col>9</xdr:col>
                    <xdr:colOff>0</xdr:colOff>
                    <xdr:row>198</xdr:row>
                    <xdr:rowOff>0</xdr:rowOff>
                  </to>
                </anchor>
              </controlPr>
            </control>
          </mc:Choice>
        </mc:AlternateContent>
        <mc:AlternateContent xmlns:mc="http://schemas.openxmlformats.org/markup-compatibility/2006">
          <mc:Choice Requires="x14">
            <control shapeId="226803" r:id="rId169" name="bpmDropDownFLU1688">
              <controlPr defaultSize="0" autoFill="0" autoPict="0">
                <anchor moveWithCells="1">
                  <from>
                    <xdr:col>8</xdr:col>
                    <xdr:colOff>0</xdr:colOff>
                    <xdr:row>198</xdr:row>
                    <xdr:rowOff>0</xdr:rowOff>
                  </from>
                  <to>
                    <xdr:col>9</xdr:col>
                    <xdr:colOff>0</xdr:colOff>
                    <xdr:row>199</xdr:row>
                    <xdr:rowOff>0</xdr:rowOff>
                  </to>
                </anchor>
              </controlPr>
            </control>
          </mc:Choice>
        </mc:AlternateContent>
        <mc:AlternateContent xmlns:mc="http://schemas.openxmlformats.org/markup-compatibility/2006">
          <mc:Choice Requires="x14">
            <control shapeId="226804" r:id="rId170" name="bpmDropDownFLU1689">
              <controlPr defaultSize="0" autoFill="0" autoPict="0">
                <anchor moveWithCells="1">
                  <from>
                    <xdr:col>8</xdr:col>
                    <xdr:colOff>0</xdr:colOff>
                    <xdr:row>199</xdr:row>
                    <xdr:rowOff>0</xdr:rowOff>
                  </from>
                  <to>
                    <xdr:col>9</xdr:col>
                    <xdr:colOff>0</xdr:colOff>
                    <xdr:row>200</xdr:row>
                    <xdr:rowOff>0</xdr:rowOff>
                  </to>
                </anchor>
              </controlPr>
            </control>
          </mc:Choice>
        </mc:AlternateContent>
        <mc:AlternateContent xmlns:mc="http://schemas.openxmlformats.org/markup-compatibility/2006">
          <mc:Choice Requires="x14">
            <control shapeId="226805" r:id="rId171" name="bpmDropDownFLU1690">
              <controlPr defaultSize="0" autoFill="0" autoPict="0">
                <anchor moveWithCells="1">
                  <from>
                    <xdr:col>8</xdr:col>
                    <xdr:colOff>0</xdr:colOff>
                    <xdr:row>200</xdr:row>
                    <xdr:rowOff>0</xdr:rowOff>
                  </from>
                  <to>
                    <xdr:col>9</xdr:col>
                    <xdr:colOff>0</xdr:colOff>
                    <xdr:row>201</xdr:row>
                    <xdr:rowOff>0</xdr:rowOff>
                  </to>
                </anchor>
              </controlPr>
            </control>
          </mc:Choice>
        </mc:AlternateContent>
        <mc:AlternateContent xmlns:mc="http://schemas.openxmlformats.org/markup-compatibility/2006">
          <mc:Choice Requires="x14">
            <control shapeId="226806" r:id="rId172" name="bpmDropDownFLU1691">
              <controlPr defaultSize="0" autoFill="0" autoPict="0">
                <anchor moveWithCells="1">
                  <from>
                    <xdr:col>3</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226807" r:id="rId173" name="bpmDropDownFLU1692">
              <controlPr defaultSize="0" autoFill="0" autoPict="0">
                <anchor moveWithCells="1">
                  <from>
                    <xdr:col>3</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226808" r:id="rId174" name="bpmDropDownFLU1693">
              <controlPr defaultSize="0" autoFill="0" autoPict="0">
                <anchor moveWithCells="1">
                  <from>
                    <xdr:col>3</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226809" r:id="rId175" name="bpmDropDownFLU1694">
              <controlPr defaultSize="0" autoFill="0" autoPict="0">
                <anchor moveWithCells="1">
                  <from>
                    <xdr:col>3</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226810" r:id="rId176" name="bpmDropDownFLU1695">
              <controlPr defaultSize="0" autoFill="0" autoPict="0">
                <anchor moveWithCells="1">
                  <from>
                    <xdr:col>3</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226811" r:id="rId177" name="bpmDropDownFLU1696">
              <controlPr defaultSize="0" autoFill="0" autoPict="0">
                <anchor moveWithCells="1">
                  <from>
                    <xdr:col>3</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226812" r:id="rId178" name="bpmDropDownFLU1697">
              <controlPr defaultSize="0" autoFill="0" autoPict="0">
                <anchor moveWithCells="1">
                  <from>
                    <xdr:col>3</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226813" r:id="rId179" name="bpmDropDownFLU1698">
              <controlPr defaultSize="0" autoFill="0" autoPict="0">
                <anchor moveWithCells="1">
                  <from>
                    <xdr:col>3</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226815" r:id="rId180" name="bpmDropDownFLU1700">
              <controlPr defaultSize="0" autoFill="0" autoPict="0">
                <anchor moveWithCells="1">
                  <from>
                    <xdr:col>3</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226816" r:id="rId181" name="bpmDropDownFLU1701">
              <controlPr defaultSize="0" autoFill="0" autoPict="0">
                <anchor moveWithCells="1">
                  <from>
                    <xdr:col>3</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226817" r:id="rId182" name="bpmDropDownFLU1702">
              <controlPr defaultSize="0" autoFill="0" autoPict="0">
                <anchor moveWithCells="1">
                  <from>
                    <xdr:col>3</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226818" r:id="rId183" name="bpmDropDownFLU1703">
              <controlPr defaultSize="0" autoFill="0" autoPict="0">
                <anchor moveWithCells="1">
                  <from>
                    <xdr:col>3</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226819" r:id="rId184" name="bpmDropDownFLU1704">
              <controlPr defaultSize="0" autoFill="0" autoPict="0">
                <anchor moveWithCells="1">
                  <from>
                    <xdr:col>3</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226820" r:id="rId185" name="bpmDropDownFLU1705">
              <controlPr defaultSize="0" autoFill="0" autoPict="0">
                <anchor moveWithCells="1">
                  <from>
                    <xdr:col>3</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226821" r:id="rId186" name="bpmDropDownFLU1706">
              <controlPr defaultSize="0" autoFill="0" autoPict="0">
                <anchor moveWithCells="1">
                  <from>
                    <xdr:col>3</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226822" r:id="rId187" name="bpmDropDownFLU1707">
              <controlPr defaultSize="0" autoFill="0" autoPict="0">
                <anchor moveWithCells="1">
                  <from>
                    <xdr:col>3</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226823" r:id="rId188" name="bpmDropDownFLU1708">
              <controlPr defaultSize="0" autoFill="0" autoPict="0">
                <anchor moveWithCells="1">
                  <from>
                    <xdr:col>3</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226824" r:id="rId189" name="bpmDropDownFLU1709">
              <controlPr defaultSize="0" autoFill="0" autoPict="0">
                <anchor moveWithCells="1">
                  <from>
                    <xdr:col>3</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226825" r:id="rId190" name="bpmDropDownFLU1710">
              <controlPr defaultSize="0" autoFill="0" autoPict="0">
                <anchor moveWithCells="1">
                  <from>
                    <xdr:col>3</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226826" r:id="rId191" name="bpmDropDownFLU1711">
              <controlPr defaultSize="0" autoFill="0" autoPict="0">
                <anchor moveWithCells="1">
                  <from>
                    <xdr:col>3</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226827" r:id="rId192" name="bpmDropDownFLU1712">
              <controlPr defaultSize="0" autoFill="0" autoPict="0">
                <anchor moveWithCells="1">
                  <from>
                    <xdr:col>3</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226828" r:id="rId193" name="bpmDropDownFLU1713">
              <controlPr defaultSize="0" autoFill="0" autoPict="0">
                <anchor moveWithCells="1">
                  <from>
                    <xdr:col>3</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226830" r:id="rId194" name="bpmDropDownFLU1715">
              <controlPr defaultSize="0" autoFill="0" autoPict="0">
                <anchor moveWithCells="1">
                  <from>
                    <xdr:col>3</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226831" r:id="rId195" name="bpmDropDownFLU1716">
              <controlPr defaultSize="0" autoFill="0" autoPict="0">
                <anchor moveWithCells="1">
                  <from>
                    <xdr:col>3</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226832" r:id="rId196" name="bpmDropDownFLU1717">
              <controlPr defaultSize="0" autoFill="0" autoPict="0">
                <anchor moveWithCells="1">
                  <from>
                    <xdr:col>3</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226833" r:id="rId197" name="bpmDropDownFLU1718">
              <controlPr defaultSize="0" autoFill="0" autoPict="0">
                <anchor moveWithCells="1">
                  <from>
                    <xdr:col>3</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226834" r:id="rId198" name="bpmDropDownFLU1719">
              <controlPr defaultSize="0" autoFill="0" autoPict="0">
                <anchor moveWithCells="1">
                  <from>
                    <xdr:col>3</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226835" r:id="rId199" name="bpmDropDownFLU1720">
              <controlPr defaultSize="0" autoFill="0" autoPict="0">
                <anchor moveWithCells="1">
                  <from>
                    <xdr:col>3</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226836" r:id="rId200" name="bpmDropDownFLU1721">
              <controlPr defaultSize="0" autoFill="0" autoPict="0">
                <anchor moveWithCells="1">
                  <from>
                    <xdr:col>3</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226837" r:id="rId201" name="bpmDropDownFLU1722">
              <controlPr defaultSize="0" autoFill="0" autoPict="0">
                <anchor moveWithCells="1">
                  <from>
                    <xdr:col>3</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226838" r:id="rId202" name="bpmDropDownFLU1723">
              <controlPr defaultSize="0" autoFill="0" autoPict="0">
                <anchor moveWithCells="1">
                  <from>
                    <xdr:col>3</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226839" r:id="rId203" name="bpmDropDownFLU1724">
              <controlPr defaultSize="0" autoFill="0" autoPict="0">
                <anchor moveWithCells="1">
                  <from>
                    <xdr:col>3</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226840" r:id="rId204" name="bpmDropDownFLU1725">
              <controlPr defaultSize="0" autoFill="0" autoPict="0">
                <anchor moveWithCells="1">
                  <from>
                    <xdr:col>3</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226841" r:id="rId205" name="bpmDropDownFLU1726">
              <controlPr defaultSize="0" autoFill="0" autoPict="0">
                <anchor moveWithCells="1">
                  <from>
                    <xdr:col>3</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226842" r:id="rId206" name="bpmDropDownFLU1727">
              <controlPr defaultSize="0" autoFill="0" autoPict="0">
                <anchor moveWithCells="1">
                  <from>
                    <xdr:col>3</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226843" r:id="rId207" name="bpmDropDownFLU1728">
              <controlPr defaultSize="0" autoFill="0" autoPict="0">
                <anchor moveWithCells="1">
                  <from>
                    <xdr:col>3</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226845" r:id="rId208" name="bpmDropDownFLU1730">
              <controlPr defaultSize="0" autoFill="0" autoPict="0">
                <anchor moveWithCells="1">
                  <from>
                    <xdr:col>3</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226846" r:id="rId209" name="bpmDropDownFLU1731">
              <controlPr defaultSize="0" autoFill="0" autoPict="0">
                <anchor moveWithCells="1">
                  <from>
                    <xdr:col>3</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226847" r:id="rId210" name="bpmDropDownFLU1732">
              <controlPr defaultSize="0" autoFill="0" autoPict="0">
                <anchor moveWithCells="1">
                  <from>
                    <xdr:col>3</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226848" r:id="rId211" name="bpmDropDownFLU1733">
              <controlPr defaultSize="0" autoFill="0" autoPict="0">
                <anchor moveWithCells="1">
                  <from>
                    <xdr:col>3</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226849" r:id="rId212" name="bpmDropDownFLU1734">
              <controlPr defaultSize="0" autoFill="0" autoPict="0">
                <anchor moveWithCells="1">
                  <from>
                    <xdr:col>3</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226850" r:id="rId213" name="bpmDropDownFLU1735">
              <controlPr defaultSize="0" autoFill="0" autoPict="0">
                <anchor moveWithCells="1">
                  <from>
                    <xdr:col>3</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226851" r:id="rId214" name="bpmDropDownFLU399">
              <controlPr defaultSize="0" autoFill="0" autoPict="0">
                <anchor moveWithCells="1">
                  <from>
                    <xdr:col>3</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226852" r:id="rId215" name="bpmDropDownFLU400">
              <controlPr defaultSize="0" autoFill="0" autoPict="0">
                <anchor moveWithCells="1">
                  <from>
                    <xdr:col>8</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26853" r:id="rId216" name="bpmDropDownFLU401">
              <controlPr defaultSize="0" autoFill="0" autoPict="0">
                <anchor moveWithCells="1">
                  <from>
                    <xdr:col>3</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226854" r:id="rId217" name="bpmDropDownFLU402">
              <controlPr defaultSize="0" autoFill="0" autoPict="0">
                <anchor moveWithCells="1">
                  <from>
                    <xdr:col>3</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226855" r:id="rId218" name="bpmDropDownFLU403">
              <controlPr defaultSize="0" autoFill="0" autoPict="0">
                <anchor moveWithCells="1">
                  <from>
                    <xdr:col>3</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226856" r:id="rId219" name="bpmDropDownFLU404">
              <controlPr defaultSize="0" autoFill="0" autoPict="0">
                <anchor moveWithCells="1">
                  <from>
                    <xdr:col>3</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226857" r:id="rId220" name="bpmDropDownFLU405">
              <controlPr defaultSize="0" autoFill="0" autoPict="0">
                <anchor moveWithCells="1">
                  <from>
                    <xdr:col>8</xdr:col>
                    <xdr:colOff>0</xdr:colOff>
                    <xdr:row>116</xdr:row>
                    <xdr:rowOff>0</xdr:rowOff>
                  </from>
                  <to>
                    <xdr:col>9</xdr:col>
                    <xdr:colOff>0</xdr:colOff>
                    <xdr:row>117</xdr:row>
                    <xdr:rowOff>0</xdr:rowOff>
                  </to>
                </anchor>
              </controlPr>
            </control>
          </mc:Choice>
        </mc:AlternateContent>
        <mc:AlternateContent xmlns:mc="http://schemas.openxmlformats.org/markup-compatibility/2006">
          <mc:Choice Requires="x14">
            <control shapeId="226858" r:id="rId221" name="bpmDropDownFLU406">
              <controlPr defaultSize="0" autoFill="0" autoPict="0">
                <anchor moveWithCells="1">
                  <from>
                    <xdr:col>3</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226859" r:id="rId222" name="bpmDropDownFLU407">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226860" r:id="rId223" name="bpmDropDownFLU408">
              <controlPr defaultSize="0" autoFill="0" autoPict="0">
                <anchor moveWithCells="1">
                  <from>
                    <xdr:col>3</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226861" r:id="rId224" name="bpmDropDownFLU409">
              <controlPr defaultSize="0" autoFill="0" autoPict="0">
                <anchor moveWithCells="1">
                  <from>
                    <xdr:col>3</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226862" r:id="rId225" name="bpmDropDownFLU410">
              <controlPr defaultSize="0" autoFill="0" autoPict="0">
                <anchor moveWithCells="1">
                  <from>
                    <xdr:col>8</xdr:col>
                    <xdr:colOff>0</xdr:colOff>
                    <xdr:row>201</xdr:row>
                    <xdr:rowOff>0</xdr:rowOff>
                  </from>
                  <to>
                    <xdr:col>9</xdr:col>
                    <xdr:colOff>0</xdr:colOff>
                    <xdr:row>202</xdr:row>
                    <xdr:rowOff>0</xdr:rowOff>
                  </to>
                </anchor>
              </controlPr>
            </control>
          </mc:Choice>
        </mc:AlternateContent>
        <mc:AlternateContent xmlns:mc="http://schemas.openxmlformats.org/markup-compatibility/2006">
          <mc:Choice Requires="x14">
            <control shapeId="226863" r:id="rId226" name="bpmDropDownFLU412">
              <controlPr defaultSize="0" autoFill="0" autoPict="0">
                <anchor moveWithCells="1">
                  <from>
                    <xdr:col>3</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226864" r:id="rId227" name="bpmDropDownFLU414">
              <controlPr defaultSize="0" autoFill="0" autoPict="0">
                <anchor moveWithCells="1">
                  <from>
                    <xdr:col>3</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226865" r:id="rId228" name="bpmDropDownFLU415">
              <controlPr defaultSize="0" autoFill="0" autoPict="0">
                <anchor moveWithCells="1">
                  <from>
                    <xdr:col>3</xdr:col>
                    <xdr:colOff>0</xdr:colOff>
                    <xdr:row>258</xdr:row>
                    <xdr:rowOff>0</xdr:rowOff>
                  </from>
                  <to>
                    <xdr:col>7</xdr:col>
                    <xdr:colOff>0</xdr:colOff>
                    <xdr:row>259</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62"/>
    <pageSetUpPr autoPageBreaks="0"/>
  </sheetPr>
  <dimension ref="A1:P462"/>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11.6640625" defaultRowHeight="14.4" outlineLevelRow="1"/>
  <cols>
    <col min="1" max="5" width="3.6640625" customWidth="1"/>
    <col min="8" max="8" width="35.6640625" customWidth="1"/>
    <col min="16" max="16" width="40.6640625" customWidth="1"/>
  </cols>
  <sheetData>
    <row r="1" spans="1:16" ht="50.1" customHeight="1">
      <c r="B1" s="56" t="s">
        <v>558</v>
      </c>
    </row>
    <row r="2" spans="1:16" ht="18">
      <c r="B2" s="164" t="str">
        <f>Model_Name</f>
        <v>Seasonal Influenza Immunization Costing Tool (SIICT)  - Test Country</v>
      </c>
    </row>
    <row r="3" spans="1:16">
      <c r="B3" s="668" t="s">
        <v>1</v>
      </c>
      <c r="C3" s="668"/>
      <c r="D3" s="668"/>
      <c r="E3" s="668"/>
      <c r="F3" s="668"/>
    </row>
    <row r="4" spans="1:16">
      <c r="A4" s="54" t="s">
        <v>3</v>
      </c>
      <c r="B4" s="5" t="s">
        <v>4</v>
      </c>
      <c r="C4" s="6" t="s">
        <v>5</v>
      </c>
      <c r="D4" s="394" t="s">
        <v>25</v>
      </c>
      <c r="E4" s="330" t="s">
        <v>26</v>
      </c>
      <c r="F4" s="395" t="s">
        <v>27</v>
      </c>
    </row>
    <row r="5" spans="1:16" s="134" customFormat="1"/>
    <row r="6" spans="1:16" s="134" customFormat="1"/>
    <row r="7" spans="1:16" s="134" customFormat="1" ht="17.399999999999999">
      <c r="B7" s="15" t="s">
        <v>558</v>
      </c>
    </row>
    <row r="8" spans="1:16" s="134" customFormat="1"/>
    <row r="9" spans="1:16" s="134" customFormat="1" ht="17.399999999999999">
      <c r="B9" s="81" t="str">
        <f>"Detailed Cost Estimate: "&amp;FLU_LU!$D$326</f>
        <v>Detailed Cost Estimate: Plan and prepare for distribution.</v>
      </c>
    </row>
    <row r="10" spans="1:16" s="134" customFormat="1"/>
    <row r="11" spans="1:16" s="134" customFormat="1">
      <c r="F11" s="152" t="s">
        <v>597</v>
      </c>
      <c r="H11" s="758" t="str">
        <f>DISTRIB!G$16</f>
        <v>Plan and Preparation Completed</v>
      </c>
      <c r="I11" s="758"/>
      <c r="J11" s="758"/>
      <c r="K11" s="758"/>
      <c r="L11" s="758"/>
      <c r="M11" s="758"/>
      <c r="N11" s="758"/>
      <c r="O11" s="758"/>
      <c r="P11" s="758"/>
    </row>
    <row r="12" spans="1:16" s="134" customFormat="1"/>
    <row r="13" spans="1:16" s="134" customFormat="1">
      <c r="E13" s="152" t="s">
        <v>273</v>
      </c>
    </row>
    <row r="14" spans="1:16" s="134" customFormat="1"/>
    <row r="15" spans="1:16" s="134" customFormat="1">
      <c r="C15" s="160" t="str">
        <f>FLU_LU!$D$278</f>
        <v xml:space="preserve">Personnel </v>
      </c>
    </row>
    <row r="16" spans="1:16" s="134" customFormat="1" ht="43.2" outlineLevel="1">
      <c r="D16" s="733" t="s">
        <v>100</v>
      </c>
      <c r="E16" s="733"/>
      <c r="F16" s="733"/>
      <c r="G16" s="733"/>
      <c r="H16" s="142" t="s">
        <v>274</v>
      </c>
      <c r="I16" s="72" t="s">
        <v>474</v>
      </c>
      <c r="J16" s="152" t="s">
        <v>67</v>
      </c>
      <c r="K16" s="72" t="s">
        <v>475</v>
      </c>
      <c r="L16" s="28" t="str">
        <f>"Financial Price ("&amp;FLU_LU!$D$79&amp;")"</f>
        <v>Financial Price (GOZ)</v>
      </c>
      <c r="M16" s="28" t="str">
        <f>"Economic Price ("&amp;FLU_LU!$D$79&amp;")"</f>
        <v>Economic Price (GOZ)</v>
      </c>
      <c r="N16" s="28" t="str">
        <f>"Financial Price ("&amp;FLU_LU!$D$78&amp;")"</f>
        <v>Financial Price (USD)</v>
      </c>
      <c r="O16" s="28" t="str">
        <f>"Economic Price ("&amp;FLU_LU!$D$78&amp;")"</f>
        <v>Economic Price (USD)</v>
      </c>
      <c r="P16" s="152" t="s">
        <v>68</v>
      </c>
    </row>
    <row r="17" spans="4:16" s="23" customFormat="1" outlineLevel="1">
      <c r="D17" s="746">
        <v>18</v>
      </c>
      <c r="E17" s="746"/>
      <c r="F17" s="746"/>
      <c r="G17" s="749"/>
      <c r="H17" s="151" t="s">
        <v>650</v>
      </c>
      <c r="I17" s="31">
        <v>2</v>
      </c>
      <c r="J17" s="64">
        <v>4</v>
      </c>
      <c r="K17" s="135">
        <f t="shared" ref="K17:K31" si="0">IF(I17=1,J17/FLU_DAYS_PER_MONTH,IF(I17=2,J17/FLU_HOURS_PER_MONTH,J17/FLU_MINUTES_PER_MONTH))</f>
        <v>2.2727272727272728E-2</v>
      </c>
      <c r="L17" s="162">
        <f ca="1">OFFSET(Cost_Ingredients!$N$73,D17,0)*$K17</f>
        <v>0</v>
      </c>
      <c r="M17" s="162">
        <f ca="1">OFFSET(Cost_Ingredients!$O$73,D17,0)*$K17</f>
        <v>2095.2954545454545</v>
      </c>
      <c r="N17" s="179">
        <f ca="1">L17/Cost_Ingredients!$J$21</f>
        <v>0</v>
      </c>
      <c r="O17" s="179">
        <f ca="1">M17/Cost_Ingredients!$J$21</f>
        <v>13.968636363636364</v>
      </c>
      <c r="P17" s="151"/>
    </row>
    <row r="18" spans="4:16" s="23" customFormat="1" outlineLevel="1">
      <c r="D18" s="746">
        <v>17</v>
      </c>
      <c r="E18" s="746"/>
      <c r="F18" s="746"/>
      <c r="G18" s="749"/>
      <c r="H18" s="151" t="s">
        <v>650</v>
      </c>
      <c r="I18" s="31">
        <v>2</v>
      </c>
      <c r="J18" s="64">
        <v>4</v>
      </c>
      <c r="K18" s="135">
        <f t="shared" si="0"/>
        <v>2.2727272727272728E-2</v>
      </c>
      <c r="L18" s="162">
        <f ca="1">OFFSET(Cost_Ingredients!$N$73,D18,0)*$K18</f>
        <v>0</v>
      </c>
      <c r="M18" s="162">
        <f ca="1">OFFSET(Cost_Ingredients!$O$73,D18,0)*$K18</f>
        <v>3015.6340909090909</v>
      </c>
      <c r="N18" s="179">
        <f ca="1">L18/Cost_Ingredients!$J$21</f>
        <v>0</v>
      </c>
      <c r="O18" s="179">
        <f ca="1">M18/Cost_Ingredients!$J$21</f>
        <v>20.104227272727272</v>
      </c>
      <c r="P18" s="151"/>
    </row>
    <row r="19" spans="4:16" s="23" customFormat="1" outlineLevel="1">
      <c r="D19" s="746">
        <v>9</v>
      </c>
      <c r="E19" s="746"/>
      <c r="F19" s="746"/>
      <c r="G19" s="749"/>
      <c r="H19" s="151" t="s">
        <v>650</v>
      </c>
      <c r="I19" s="31">
        <v>2</v>
      </c>
      <c r="J19" s="64">
        <v>16</v>
      </c>
      <c r="K19" s="135">
        <f t="shared" si="0"/>
        <v>9.0909090909090912E-2</v>
      </c>
      <c r="L19" s="162">
        <f ca="1">OFFSET(Cost_Ingredients!$N$73,D19,0)*$K19</f>
        <v>0</v>
      </c>
      <c r="M19" s="162">
        <f ca="1">OFFSET(Cost_Ingredients!$O$73,D19,0)*$K19</f>
        <v>7426.3636363636369</v>
      </c>
      <c r="N19" s="179">
        <f ca="1">L19/Cost_Ingredients!$J$21</f>
        <v>0</v>
      </c>
      <c r="O19" s="179">
        <f ca="1">M19/Cost_Ingredients!$J$21</f>
        <v>49.509090909090915</v>
      </c>
      <c r="P19" s="151"/>
    </row>
    <row r="20" spans="4:16" s="23" customFormat="1" outlineLevel="1">
      <c r="D20" s="746">
        <v>8</v>
      </c>
      <c r="E20" s="746"/>
      <c r="F20" s="746"/>
      <c r="G20" s="749"/>
      <c r="H20" s="151" t="s">
        <v>652</v>
      </c>
      <c r="I20" s="31">
        <v>2</v>
      </c>
      <c r="J20" s="64">
        <v>8</v>
      </c>
      <c r="K20" s="135">
        <f t="shared" si="0"/>
        <v>4.5454545454545456E-2</v>
      </c>
      <c r="L20" s="162">
        <f ca="1">OFFSET(Cost_Ingredients!$N$73,D20,0)*$K20</f>
        <v>0</v>
      </c>
      <c r="M20" s="162">
        <f ca="1">OFFSET(Cost_Ingredients!$O$73,D20,0)*$K20</f>
        <v>7057.681818181818</v>
      </c>
      <c r="N20" s="179">
        <f ca="1">L20/Cost_Ingredients!$J$21</f>
        <v>0</v>
      </c>
      <c r="O20" s="179">
        <f ca="1">M20/Cost_Ingredients!$J$21</f>
        <v>47.051212121212117</v>
      </c>
      <c r="P20" s="151"/>
    </row>
    <row r="21" spans="4:16" s="23" customFormat="1" outlineLevel="1">
      <c r="D21" s="746">
        <v>17</v>
      </c>
      <c r="E21" s="746"/>
      <c r="F21" s="746"/>
      <c r="G21" s="749"/>
      <c r="H21" s="151" t="s">
        <v>652</v>
      </c>
      <c r="I21" s="31">
        <v>2</v>
      </c>
      <c r="J21" s="64">
        <v>8</v>
      </c>
      <c r="K21" s="135">
        <f t="shared" si="0"/>
        <v>4.5454545454545456E-2</v>
      </c>
      <c r="L21" s="162">
        <f ca="1">OFFSET(Cost_Ingredients!$N$73,D21,0)*$K21</f>
        <v>0</v>
      </c>
      <c r="M21" s="162">
        <f ca="1">OFFSET(Cost_Ingredients!$O$73,D21,0)*$K21</f>
        <v>6031.2681818181818</v>
      </c>
      <c r="N21" s="179">
        <f ca="1">L21/Cost_Ingredients!$J$21</f>
        <v>0</v>
      </c>
      <c r="O21" s="179">
        <f ca="1">M21/Cost_Ingredients!$J$21</f>
        <v>40.208454545454543</v>
      </c>
      <c r="P21" s="151"/>
    </row>
    <row r="22" spans="4:16" s="23" customFormat="1" outlineLevel="1">
      <c r="D22" s="746">
        <v>9</v>
      </c>
      <c r="E22" s="746"/>
      <c r="F22" s="746"/>
      <c r="G22" s="749"/>
      <c r="H22" s="151" t="s">
        <v>653</v>
      </c>
      <c r="I22" s="31">
        <v>2</v>
      </c>
      <c r="J22" s="64">
        <v>24</v>
      </c>
      <c r="K22" s="135">
        <f t="shared" si="0"/>
        <v>0.13636363636363635</v>
      </c>
      <c r="L22" s="162">
        <f ca="1">OFFSET(Cost_Ingredients!$N$73,D22,0)*$K22</f>
        <v>0</v>
      </c>
      <c r="M22" s="162">
        <f ca="1">OFFSET(Cost_Ingredients!$O$73,D22,0)*$K22</f>
        <v>11139.545454545454</v>
      </c>
      <c r="N22" s="179">
        <f ca="1">L22/Cost_Ingredients!$J$21</f>
        <v>0</v>
      </c>
      <c r="O22" s="179">
        <f ca="1">M22/Cost_Ingredients!$J$21</f>
        <v>74.263636363636365</v>
      </c>
      <c r="P22" s="151"/>
    </row>
    <row r="23" spans="4:16" s="23" customFormat="1" outlineLevel="1">
      <c r="D23" s="746">
        <v>8</v>
      </c>
      <c r="E23" s="746"/>
      <c r="F23" s="746"/>
      <c r="G23" s="749"/>
      <c r="H23" s="151" t="s">
        <v>651</v>
      </c>
      <c r="I23" s="31">
        <v>2</v>
      </c>
      <c r="J23" s="64">
        <v>5</v>
      </c>
      <c r="K23" s="135">
        <f t="shared" si="0"/>
        <v>2.8409090909090908E-2</v>
      </c>
      <c r="L23" s="162">
        <f ca="1">OFFSET(Cost_Ingredients!$N$73,D23,0)*$K23</f>
        <v>0</v>
      </c>
      <c r="M23" s="162">
        <f ca="1">OFFSET(Cost_Ingredients!$O$73,D23,0)*$K23</f>
        <v>4411.051136363636</v>
      </c>
      <c r="N23" s="179">
        <f ca="1">L23/Cost_Ingredients!$J$21</f>
        <v>0</v>
      </c>
      <c r="O23" s="179">
        <f ca="1">M23/Cost_Ingredients!$J$21</f>
        <v>29.407007575757575</v>
      </c>
      <c r="P23" s="151"/>
    </row>
    <row r="24" spans="4:16" s="23" customFormat="1" outlineLevel="1">
      <c r="D24" s="746">
        <v>17</v>
      </c>
      <c r="E24" s="746"/>
      <c r="F24" s="746"/>
      <c r="G24" s="749"/>
      <c r="H24" s="151" t="s">
        <v>651</v>
      </c>
      <c r="I24" s="31">
        <v>2</v>
      </c>
      <c r="J24" s="64">
        <v>5</v>
      </c>
      <c r="K24" s="135">
        <f t="shared" si="0"/>
        <v>2.8409090909090908E-2</v>
      </c>
      <c r="L24" s="162">
        <f ca="1">OFFSET(Cost_Ingredients!$N$73,D24,0)*$K24</f>
        <v>0</v>
      </c>
      <c r="M24" s="162">
        <f ca="1">OFFSET(Cost_Ingredients!$O$73,D24,0)*$K24</f>
        <v>3769.5426136363635</v>
      </c>
      <c r="N24" s="179">
        <f ca="1">L24/Cost_Ingredients!$J$21</f>
        <v>0</v>
      </c>
      <c r="O24" s="179">
        <f ca="1">M24/Cost_Ingredients!$J$21</f>
        <v>25.13028409090909</v>
      </c>
      <c r="P24" s="151"/>
    </row>
    <row r="25" spans="4:16" s="23" customFormat="1" outlineLevel="1">
      <c r="D25" s="746">
        <v>9</v>
      </c>
      <c r="E25" s="746"/>
      <c r="F25" s="746"/>
      <c r="G25" s="749"/>
      <c r="H25" s="151" t="s">
        <v>658</v>
      </c>
      <c r="I25" s="31">
        <v>2</v>
      </c>
      <c r="J25" s="64">
        <v>2</v>
      </c>
      <c r="K25" s="135">
        <f t="shared" si="0"/>
        <v>1.1363636363636364E-2</v>
      </c>
      <c r="L25" s="162">
        <f ca="1">OFFSET(Cost_Ingredients!$N$73,D25,0)*$K25</f>
        <v>0</v>
      </c>
      <c r="M25" s="162">
        <f ca="1">OFFSET(Cost_Ingredients!$O$73,D25,0)*$K25</f>
        <v>928.29545454545462</v>
      </c>
      <c r="N25" s="179">
        <f ca="1">L25/Cost_Ingredients!$J$21</f>
        <v>0</v>
      </c>
      <c r="O25" s="179">
        <f ca="1">M25/Cost_Ingredients!$J$21</f>
        <v>6.1886363636363644</v>
      </c>
      <c r="P25" s="151"/>
    </row>
    <row r="26" spans="4:16" s="23" customFormat="1" outlineLevel="1">
      <c r="D26" s="746">
        <v>22</v>
      </c>
      <c r="E26" s="746"/>
      <c r="F26" s="746"/>
      <c r="G26" s="749"/>
      <c r="H26" s="151" t="s">
        <v>658</v>
      </c>
      <c r="I26" s="31">
        <v>2</v>
      </c>
      <c r="J26" s="64">
        <v>2</v>
      </c>
      <c r="K26" s="135">
        <f t="shared" si="0"/>
        <v>1.1363636363636364E-2</v>
      </c>
      <c r="L26" s="162">
        <f ca="1">OFFSET(Cost_Ingredients!$N$73,D26,0)*$K26</f>
        <v>0</v>
      </c>
      <c r="M26" s="162">
        <f ca="1">OFFSET(Cost_Ingredients!$O$73,D26,0)*$K26</f>
        <v>928.29545454545462</v>
      </c>
      <c r="N26" s="179">
        <f ca="1">L26/Cost_Ingredients!$J$21</f>
        <v>0</v>
      </c>
      <c r="O26" s="179">
        <f ca="1">M26/Cost_Ingredients!$J$21</f>
        <v>6.1886363636363644</v>
      </c>
      <c r="P26" s="151"/>
    </row>
    <row r="27" spans="4:16" s="23" customFormat="1" outlineLevel="1">
      <c r="D27" s="746">
        <v>16</v>
      </c>
      <c r="E27" s="746"/>
      <c r="F27" s="746"/>
      <c r="G27" s="749"/>
      <c r="H27" s="151" t="s">
        <v>658</v>
      </c>
      <c r="I27" s="31">
        <v>2</v>
      </c>
      <c r="J27" s="64">
        <v>2</v>
      </c>
      <c r="K27" s="135">
        <f t="shared" si="0"/>
        <v>1.1363636363636364E-2</v>
      </c>
      <c r="L27" s="162">
        <f ca="1">OFFSET(Cost_Ingredients!$N$73,D27,0)*$K27</f>
        <v>0</v>
      </c>
      <c r="M27" s="162">
        <f ca="1">OFFSET(Cost_Ingredients!$O$73,D27,0)*$K27</f>
        <v>928.29545454545462</v>
      </c>
      <c r="N27" s="179">
        <f ca="1">L27/Cost_Ingredients!$J$21</f>
        <v>0</v>
      </c>
      <c r="O27" s="179">
        <f ca="1">M27/Cost_Ingredients!$J$21</f>
        <v>6.1886363636363644</v>
      </c>
      <c r="P27" s="151"/>
    </row>
    <row r="28" spans="4:16" s="23" customFormat="1" outlineLevel="1">
      <c r="D28" s="746">
        <v>1</v>
      </c>
      <c r="E28" s="746"/>
      <c r="F28" s="746"/>
      <c r="G28" s="749"/>
      <c r="H28" s="151"/>
      <c r="I28" s="31">
        <v>1</v>
      </c>
      <c r="J28" s="64">
        <v>0</v>
      </c>
      <c r="K28" s="135">
        <f t="shared" si="0"/>
        <v>0</v>
      </c>
      <c r="L28" s="162">
        <f ca="1">OFFSET(Cost_Ingredients!$N$73,D28,0)*$K28</f>
        <v>0</v>
      </c>
      <c r="M28" s="162">
        <f ca="1">OFFSET(Cost_Ingredients!$O$73,D28,0)*$K28</f>
        <v>0</v>
      </c>
      <c r="N28" s="179">
        <f ca="1">L28/Cost_Ingredients!$J$21</f>
        <v>0</v>
      </c>
      <c r="O28" s="179">
        <f ca="1">M28/Cost_Ingredients!$J$21</f>
        <v>0</v>
      </c>
      <c r="P28" s="151"/>
    </row>
    <row r="29" spans="4:16" s="23" customFormat="1" outlineLevel="1">
      <c r="D29" s="746">
        <v>1</v>
      </c>
      <c r="E29" s="746"/>
      <c r="F29" s="746"/>
      <c r="G29" s="749"/>
      <c r="H29" s="151"/>
      <c r="I29" s="31">
        <v>1</v>
      </c>
      <c r="J29" s="64">
        <v>0</v>
      </c>
      <c r="K29" s="135">
        <f t="shared" si="0"/>
        <v>0</v>
      </c>
      <c r="L29" s="162">
        <f ca="1">OFFSET(Cost_Ingredients!$N$73,D29,0)*$K29</f>
        <v>0</v>
      </c>
      <c r="M29" s="162">
        <f ca="1">OFFSET(Cost_Ingredients!$O$73,D29,0)*$K29</f>
        <v>0</v>
      </c>
      <c r="N29" s="179">
        <f ca="1">L29/Cost_Ingredients!$J$21</f>
        <v>0</v>
      </c>
      <c r="O29" s="179">
        <f ca="1">M29/Cost_Ingredients!$J$21</f>
        <v>0</v>
      </c>
      <c r="P29" s="151"/>
    </row>
    <row r="30" spans="4:16" s="23" customFormat="1" outlineLevel="1">
      <c r="D30" s="746">
        <v>1</v>
      </c>
      <c r="E30" s="746"/>
      <c r="F30" s="746"/>
      <c r="G30" s="749"/>
      <c r="H30" s="151"/>
      <c r="I30" s="31">
        <v>1</v>
      </c>
      <c r="J30" s="64">
        <v>0</v>
      </c>
      <c r="K30" s="135">
        <f t="shared" si="0"/>
        <v>0</v>
      </c>
      <c r="L30" s="162">
        <f ca="1">OFFSET(Cost_Ingredients!$N$73,D30,0)*$K30</f>
        <v>0</v>
      </c>
      <c r="M30" s="162">
        <f ca="1">OFFSET(Cost_Ingredients!$O$73,D30,0)*$K30</f>
        <v>0</v>
      </c>
      <c r="N30" s="179">
        <f ca="1">L30/Cost_Ingredients!$J$21</f>
        <v>0</v>
      </c>
      <c r="O30" s="179">
        <f ca="1">M30/Cost_Ingredients!$J$21</f>
        <v>0</v>
      </c>
      <c r="P30" s="151"/>
    </row>
    <row r="31" spans="4:16" s="23" customFormat="1" outlineLevel="1">
      <c r="D31" s="746">
        <v>1</v>
      </c>
      <c r="E31" s="746"/>
      <c r="F31" s="746"/>
      <c r="G31" s="749"/>
      <c r="H31" s="172"/>
      <c r="I31" s="31">
        <v>1</v>
      </c>
      <c r="J31" s="173">
        <v>0</v>
      </c>
      <c r="K31" s="135">
        <f t="shared" si="0"/>
        <v>0</v>
      </c>
      <c r="L31" s="162">
        <f ca="1">OFFSET(Cost_Ingredients!$N$73,D31,0)*$K31</f>
        <v>0</v>
      </c>
      <c r="M31" s="162">
        <f ca="1">OFFSET(Cost_Ingredients!$O$73,D31,0)*$K31</f>
        <v>0</v>
      </c>
      <c r="N31" s="179">
        <f ca="1">L31/Cost_Ingredients!$J$21</f>
        <v>0</v>
      </c>
      <c r="O31" s="179">
        <f ca="1">M31/Cost_Ingredients!$J$21</f>
        <v>0</v>
      </c>
      <c r="P31" s="172"/>
    </row>
    <row r="32" spans="4:16" s="23" customFormat="1">
      <c r="D32" s="12"/>
      <c r="E32" s="12"/>
      <c r="F32" s="12"/>
      <c r="G32" s="12"/>
      <c r="H32" s="156"/>
      <c r="I32" s="12"/>
      <c r="J32" s="69"/>
      <c r="K32" s="18"/>
      <c r="L32" s="255">
        <f ca="1">SUM(L17:L31)</f>
        <v>0</v>
      </c>
      <c r="M32" s="255">
        <f ca="1">SUM(M17:M31)</f>
        <v>47731.268749999996</v>
      </c>
      <c r="N32" s="258">
        <f ca="1">SUM(N17:N31)</f>
        <v>0</v>
      </c>
      <c r="O32" s="258">
        <f ca="1">SUM(O17:O31)</f>
        <v>318.20845833333334</v>
      </c>
      <c r="P32" s="156"/>
    </row>
    <row r="33" spans="3:16" s="134" customFormat="1"/>
    <row r="34" spans="3:16" s="134" customFormat="1">
      <c r="C34" s="160" t="str">
        <f>FLU_LU!$D$279</f>
        <v>Allowances</v>
      </c>
    </row>
    <row r="35" spans="3:16" s="134" customFormat="1" ht="28.8" outlineLevel="1">
      <c r="D35" s="733" t="s">
        <v>100</v>
      </c>
      <c r="E35" s="733"/>
      <c r="F35" s="733"/>
      <c r="G35" s="733"/>
      <c r="H35" s="730" t="s">
        <v>274</v>
      </c>
      <c r="I35" s="730"/>
      <c r="J35" s="152" t="s">
        <v>67</v>
      </c>
      <c r="L35" s="28" t="str">
        <f>"Financial Price ("&amp;FLU_LU!$D$79&amp;")"</f>
        <v>Financial Price (GOZ)</v>
      </c>
      <c r="M35" s="28" t="str">
        <f>"Economic Price ("&amp;FLU_LU!$D$79&amp;")"</f>
        <v>Economic Price (GOZ)</v>
      </c>
      <c r="N35" s="28" t="str">
        <f>"Financial Price ("&amp;FLU_LU!$D$78&amp;")"</f>
        <v>Financial Price (USD)</v>
      </c>
      <c r="O35" s="28" t="str">
        <f>"Economic Price ("&amp;FLU_LU!$D$78&amp;")"</f>
        <v>Economic Price (USD)</v>
      </c>
      <c r="P35" s="152" t="s">
        <v>68</v>
      </c>
    </row>
    <row r="36" spans="3:16" s="23" customFormat="1" outlineLevel="1">
      <c r="D36" s="746">
        <v>1</v>
      </c>
      <c r="E36" s="747"/>
      <c r="F36" s="747"/>
      <c r="G36" s="748"/>
      <c r="H36" s="667"/>
      <c r="I36" s="667"/>
      <c r="J36" s="64"/>
      <c r="L36" s="162">
        <f ca="1">OFFSET(Cost_Ingredients!$N$103,$D36,0)*$J36</f>
        <v>0</v>
      </c>
      <c r="M36" s="162">
        <f ca="1">OFFSET(Cost_Ingredients!$O$103,$D36,0)*$J36</f>
        <v>0</v>
      </c>
      <c r="N36" s="163">
        <f ca="1">L36/Cost_Ingredients!$J$21</f>
        <v>0</v>
      </c>
      <c r="O36" s="163">
        <f ca="1">M36/Cost_Ingredients!$J$21</f>
        <v>0</v>
      </c>
      <c r="P36" s="151"/>
    </row>
    <row r="37" spans="3:16" s="23" customFormat="1" outlineLevel="1">
      <c r="D37" s="746">
        <v>1</v>
      </c>
      <c r="E37" s="747"/>
      <c r="F37" s="747"/>
      <c r="G37" s="748"/>
      <c r="H37" s="667"/>
      <c r="I37" s="667"/>
      <c r="J37" s="64"/>
      <c r="L37" s="162">
        <f ca="1">OFFSET(Cost_Ingredients!$N$103,$D37,0)*$J37</f>
        <v>0</v>
      </c>
      <c r="M37" s="162">
        <f ca="1">OFFSET(Cost_Ingredients!$O$103,$D37,0)*$J37</f>
        <v>0</v>
      </c>
      <c r="N37" s="163">
        <f ca="1">L37/Cost_Ingredients!$J$21</f>
        <v>0</v>
      </c>
      <c r="O37" s="163">
        <f ca="1">M37/Cost_Ingredients!$J$21</f>
        <v>0</v>
      </c>
      <c r="P37" s="151"/>
    </row>
    <row r="38" spans="3:16" s="23" customFormat="1" outlineLevel="1">
      <c r="D38" s="746">
        <v>1</v>
      </c>
      <c r="E38" s="747"/>
      <c r="F38" s="747"/>
      <c r="G38" s="748"/>
      <c r="H38" s="667"/>
      <c r="I38" s="667"/>
      <c r="J38" s="64"/>
      <c r="L38" s="162">
        <f ca="1">OFFSET(Cost_Ingredients!$N$103,$D38,0)*$J38</f>
        <v>0</v>
      </c>
      <c r="M38" s="162">
        <f ca="1">OFFSET(Cost_Ingredients!$O$103,$D38,0)*$J38</f>
        <v>0</v>
      </c>
      <c r="N38" s="163">
        <f ca="1">L38/Cost_Ingredients!$J$21</f>
        <v>0</v>
      </c>
      <c r="O38" s="163">
        <f ca="1">M38/Cost_Ingredients!$J$21</f>
        <v>0</v>
      </c>
      <c r="P38" s="151"/>
    </row>
    <row r="39" spans="3:16" s="23" customFormat="1" outlineLevel="1">
      <c r="D39" s="746">
        <v>1</v>
      </c>
      <c r="E39" s="747"/>
      <c r="F39" s="747"/>
      <c r="G39" s="748"/>
      <c r="H39" s="667"/>
      <c r="I39" s="667"/>
      <c r="J39" s="64"/>
      <c r="L39" s="162">
        <f ca="1">OFFSET(Cost_Ingredients!$N$103,$D39,0)*$J39</f>
        <v>0</v>
      </c>
      <c r="M39" s="162">
        <f ca="1">OFFSET(Cost_Ingredients!$O$103,$D39,0)*$J39</f>
        <v>0</v>
      </c>
      <c r="N39" s="163">
        <f ca="1">L39/Cost_Ingredients!$J$21</f>
        <v>0</v>
      </c>
      <c r="O39" s="163">
        <f ca="1">M39/Cost_Ingredients!$J$21</f>
        <v>0</v>
      </c>
      <c r="P39" s="151"/>
    </row>
    <row r="40" spans="3:16" s="23" customFormat="1" outlineLevel="1">
      <c r="D40" s="746">
        <v>1</v>
      </c>
      <c r="E40" s="747"/>
      <c r="F40" s="747"/>
      <c r="G40" s="748"/>
      <c r="H40" s="667"/>
      <c r="I40" s="667"/>
      <c r="J40" s="64"/>
      <c r="L40" s="162">
        <f ca="1">OFFSET(Cost_Ingredients!$N$103,$D40,0)*$J40</f>
        <v>0</v>
      </c>
      <c r="M40" s="162">
        <f ca="1">OFFSET(Cost_Ingredients!$O$103,$D40,0)*$J40</f>
        <v>0</v>
      </c>
      <c r="N40" s="163">
        <f ca="1">L40/Cost_Ingredients!$J$21</f>
        <v>0</v>
      </c>
      <c r="O40" s="163">
        <f ca="1">M40/Cost_Ingredients!$J$21</f>
        <v>0</v>
      </c>
      <c r="P40" s="151"/>
    </row>
    <row r="41" spans="3:16" s="23" customFormat="1" outlineLevel="1">
      <c r="D41" s="746">
        <v>1</v>
      </c>
      <c r="E41" s="747"/>
      <c r="F41" s="747"/>
      <c r="G41" s="748"/>
      <c r="H41" s="667"/>
      <c r="I41" s="667"/>
      <c r="J41" s="64"/>
      <c r="L41" s="162">
        <f ca="1">OFFSET(Cost_Ingredients!$N$103,$D41,0)*$J41</f>
        <v>0</v>
      </c>
      <c r="M41" s="162">
        <f ca="1">OFFSET(Cost_Ingredients!$O$103,$D41,0)*$J41</f>
        <v>0</v>
      </c>
      <c r="N41" s="163">
        <f ca="1">L41/Cost_Ingredients!$J$21</f>
        <v>0</v>
      </c>
      <c r="O41" s="163">
        <f ca="1">M41/Cost_Ingredients!$J$21</f>
        <v>0</v>
      </c>
      <c r="P41" s="151"/>
    </row>
    <row r="42" spans="3:16" s="23" customFormat="1" outlineLevel="1">
      <c r="D42" s="746">
        <v>1</v>
      </c>
      <c r="E42" s="747"/>
      <c r="F42" s="747"/>
      <c r="G42" s="748"/>
      <c r="H42" s="667"/>
      <c r="I42" s="667"/>
      <c r="J42" s="64"/>
      <c r="L42" s="162">
        <f ca="1">OFFSET(Cost_Ingredients!$N$103,$D42,0)*$J42</f>
        <v>0</v>
      </c>
      <c r="M42" s="162">
        <f ca="1">OFFSET(Cost_Ingredients!$O$103,$D42,0)*$J42</f>
        <v>0</v>
      </c>
      <c r="N42" s="163">
        <f ca="1">L42/Cost_Ingredients!$J$21</f>
        <v>0</v>
      </c>
      <c r="O42" s="163">
        <f ca="1">M42/Cost_Ingredients!$J$21</f>
        <v>0</v>
      </c>
      <c r="P42" s="151"/>
    </row>
    <row r="43" spans="3:16" s="23" customFormat="1" outlineLevel="1">
      <c r="D43" s="746">
        <v>1</v>
      </c>
      <c r="E43" s="747"/>
      <c r="F43" s="747"/>
      <c r="G43" s="748"/>
      <c r="H43" s="667"/>
      <c r="I43" s="667"/>
      <c r="J43" s="64"/>
      <c r="L43" s="162">
        <f ca="1">OFFSET(Cost_Ingredients!$N$103,$D43,0)*$J43</f>
        <v>0</v>
      </c>
      <c r="M43" s="162">
        <f ca="1">OFFSET(Cost_Ingredients!$O$103,$D43,0)*$J43</f>
        <v>0</v>
      </c>
      <c r="N43" s="163">
        <f ca="1">L43/Cost_Ingredients!$J$21</f>
        <v>0</v>
      </c>
      <c r="O43" s="163">
        <f ca="1">M43/Cost_Ingredients!$J$21</f>
        <v>0</v>
      </c>
      <c r="P43" s="151"/>
    </row>
    <row r="44" spans="3:16" s="23" customFormat="1" outlineLevel="1">
      <c r="D44" s="746">
        <v>1</v>
      </c>
      <c r="E44" s="747"/>
      <c r="F44" s="747"/>
      <c r="G44" s="748"/>
      <c r="H44" s="667"/>
      <c r="I44" s="667"/>
      <c r="J44" s="64"/>
      <c r="L44" s="162">
        <f ca="1">OFFSET(Cost_Ingredients!$N$103,$D44,0)*$J44</f>
        <v>0</v>
      </c>
      <c r="M44" s="162">
        <f ca="1">OFFSET(Cost_Ingredients!$O$103,$D44,0)*$J44</f>
        <v>0</v>
      </c>
      <c r="N44" s="163">
        <f ca="1">L44/Cost_Ingredients!$J$21</f>
        <v>0</v>
      </c>
      <c r="O44" s="163">
        <f ca="1">M44/Cost_Ingredients!$J$21</f>
        <v>0</v>
      </c>
      <c r="P44" s="151"/>
    </row>
    <row r="45" spans="3:16" s="23" customFormat="1" outlineLevel="1">
      <c r="D45" s="746">
        <v>1</v>
      </c>
      <c r="E45" s="747"/>
      <c r="F45" s="747"/>
      <c r="G45" s="748"/>
      <c r="H45" s="667"/>
      <c r="I45" s="667"/>
      <c r="J45" s="64"/>
      <c r="L45" s="162">
        <f ca="1">OFFSET(Cost_Ingredients!$N$103,$D45,0)*$J45</f>
        <v>0</v>
      </c>
      <c r="M45" s="162">
        <f ca="1">OFFSET(Cost_Ingredients!$O$103,$D45,0)*$J45</f>
        <v>0</v>
      </c>
      <c r="N45" s="163">
        <f ca="1">L45/Cost_Ingredients!$J$21</f>
        <v>0</v>
      </c>
      <c r="O45" s="163">
        <f ca="1">M45/Cost_Ingredients!$J$21</f>
        <v>0</v>
      </c>
      <c r="P45" s="151"/>
    </row>
    <row r="46" spans="3:16" s="23" customFormat="1" outlineLevel="1">
      <c r="D46" s="746">
        <v>1</v>
      </c>
      <c r="E46" s="747"/>
      <c r="F46" s="747"/>
      <c r="G46" s="748"/>
      <c r="H46" s="667"/>
      <c r="I46" s="667"/>
      <c r="J46" s="64"/>
      <c r="L46" s="162">
        <f ca="1">OFFSET(Cost_Ingredients!$N$103,$D46,0)*$J46</f>
        <v>0</v>
      </c>
      <c r="M46" s="162">
        <f ca="1">OFFSET(Cost_Ingredients!$O$103,$D46,0)*$J46</f>
        <v>0</v>
      </c>
      <c r="N46" s="163">
        <f ca="1">L46/Cost_Ingredients!$J$21</f>
        <v>0</v>
      </c>
      <c r="O46" s="163">
        <f ca="1">M46/Cost_Ingredients!$J$21</f>
        <v>0</v>
      </c>
      <c r="P46" s="151"/>
    </row>
    <row r="47" spans="3:16" s="23" customFormat="1" outlineLevel="1">
      <c r="D47" s="746">
        <v>1</v>
      </c>
      <c r="E47" s="747"/>
      <c r="F47" s="747"/>
      <c r="G47" s="748"/>
      <c r="H47" s="667"/>
      <c r="I47" s="667"/>
      <c r="J47" s="64"/>
      <c r="L47" s="162">
        <f ca="1">OFFSET(Cost_Ingredients!$N$103,$D47,0)*$J47</f>
        <v>0</v>
      </c>
      <c r="M47" s="162">
        <f ca="1">OFFSET(Cost_Ingredients!$O$103,$D47,0)*$J47</f>
        <v>0</v>
      </c>
      <c r="N47" s="163">
        <f ca="1">L47/Cost_Ingredients!$J$21</f>
        <v>0</v>
      </c>
      <c r="O47" s="163">
        <f ca="1">M47/Cost_Ingredients!$J$21</f>
        <v>0</v>
      </c>
      <c r="P47" s="151"/>
    </row>
    <row r="48" spans="3:16" s="23" customFormat="1" outlineLevel="1">
      <c r="D48" s="746">
        <v>1</v>
      </c>
      <c r="E48" s="747"/>
      <c r="F48" s="747"/>
      <c r="G48" s="748"/>
      <c r="H48" s="667"/>
      <c r="I48" s="667"/>
      <c r="J48" s="64"/>
      <c r="L48" s="162">
        <f ca="1">OFFSET(Cost_Ingredients!$N$103,$D48,0)*$J48</f>
        <v>0</v>
      </c>
      <c r="M48" s="162">
        <f ca="1">OFFSET(Cost_Ingredients!$O$103,$D48,0)*$J48</f>
        <v>0</v>
      </c>
      <c r="N48" s="163">
        <f ca="1">L48/Cost_Ingredients!$J$21</f>
        <v>0</v>
      </c>
      <c r="O48" s="163">
        <f ca="1">M48/Cost_Ingredients!$J$21</f>
        <v>0</v>
      </c>
      <c r="P48" s="151"/>
    </row>
    <row r="49" spans="3:16" s="23" customFormat="1" outlineLevel="1">
      <c r="D49" s="746">
        <v>1</v>
      </c>
      <c r="E49" s="747"/>
      <c r="F49" s="747"/>
      <c r="G49" s="748"/>
      <c r="H49" s="667"/>
      <c r="I49" s="667"/>
      <c r="J49" s="64"/>
      <c r="L49" s="162">
        <f ca="1">OFFSET(Cost_Ingredients!$N$103,$D49,0)*$J49</f>
        <v>0</v>
      </c>
      <c r="M49" s="162">
        <f ca="1">OFFSET(Cost_Ingredients!$O$103,$D49,0)*$J49</f>
        <v>0</v>
      </c>
      <c r="N49" s="163">
        <f ca="1">L49/Cost_Ingredients!$J$21</f>
        <v>0</v>
      </c>
      <c r="O49" s="163">
        <f ca="1">M49/Cost_Ingredients!$J$21</f>
        <v>0</v>
      </c>
      <c r="P49" s="151"/>
    </row>
    <row r="50" spans="3:16" s="23" customFormat="1" outlineLevel="1">
      <c r="D50" s="746">
        <v>1</v>
      </c>
      <c r="E50" s="747"/>
      <c r="F50" s="747"/>
      <c r="G50" s="748"/>
      <c r="H50" s="745"/>
      <c r="I50" s="745"/>
      <c r="J50" s="173">
        <v>0</v>
      </c>
      <c r="L50" s="162">
        <f ca="1">OFFSET(Cost_Ingredients!$N$103,$D50,0)*$J50</f>
        <v>0</v>
      </c>
      <c r="M50" s="162">
        <f ca="1">OFFSET(Cost_Ingredients!$O$103,$D50,0)*$J50</f>
        <v>0</v>
      </c>
      <c r="N50" s="163">
        <f ca="1">L50/Cost_Ingredients!$J$21</f>
        <v>0</v>
      </c>
      <c r="O50" s="163">
        <f ca="1">M50/Cost_Ingredients!$J$21</f>
        <v>0</v>
      </c>
      <c r="P50" s="172"/>
    </row>
    <row r="51" spans="3:16" s="23" customFormat="1">
      <c r="D51" s="754" t="str">
        <f>"Subtotal - "&amp;C34</f>
        <v>Subtotal - Allowances</v>
      </c>
      <c r="E51" s="755"/>
      <c r="F51" s="755"/>
      <c r="G51" s="755"/>
      <c r="H51" s="156"/>
      <c r="I51" s="156"/>
      <c r="J51" s="69"/>
      <c r="L51" s="255">
        <f ca="1">SUM(L36:L50)</f>
        <v>0</v>
      </c>
      <c r="M51" s="255">
        <f ca="1">SUM(M36:M50)</f>
        <v>0</v>
      </c>
      <c r="N51" s="258">
        <f ca="1">SUM(N36:N50)</f>
        <v>0</v>
      </c>
      <c r="O51" s="258">
        <f ca="1">SUM(O36:O50)</f>
        <v>0</v>
      </c>
      <c r="P51" s="156"/>
    </row>
    <row r="52" spans="3:16" s="134" customFormat="1"/>
    <row r="53" spans="3:16" s="134" customFormat="1">
      <c r="C53" s="160" t="str">
        <f>FLU_LU!$D$280</f>
        <v>Supplies &amp; Materials</v>
      </c>
    </row>
    <row r="54" spans="3:16" s="134" customFormat="1" ht="28.8" outlineLevel="1">
      <c r="D54" s="733" t="s">
        <v>100</v>
      </c>
      <c r="E54" s="733"/>
      <c r="F54" s="733"/>
      <c r="G54" s="733"/>
      <c r="H54" s="142" t="s">
        <v>274</v>
      </c>
      <c r="I54" s="72" t="s">
        <v>275</v>
      </c>
      <c r="J54" s="152" t="s">
        <v>67</v>
      </c>
      <c r="L54" s="28" t="str">
        <f>"Financial Price ("&amp;FLU_LU!$D$79&amp;")"</f>
        <v>Financial Price (GOZ)</v>
      </c>
      <c r="M54" s="28" t="str">
        <f>"Economic Price ("&amp;FLU_LU!$D$79&amp;")"</f>
        <v>Economic Price (GOZ)</v>
      </c>
      <c r="N54" s="28" t="str">
        <f>"Financial Price ("&amp;FLU_LU!$D$78&amp;")"</f>
        <v>Financial Price (USD)</v>
      </c>
      <c r="O54" s="28" t="str">
        <f>"Economic Price ("&amp;FLU_LU!$D$78&amp;")"</f>
        <v>Economic Price (USD)</v>
      </c>
      <c r="P54" s="152" t="s">
        <v>68</v>
      </c>
    </row>
    <row r="55" spans="3:16" s="23" customFormat="1" outlineLevel="1">
      <c r="D55" s="746">
        <v>1</v>
      </c>
      <c r="E55" s="747"/>
      <c r="F55" s="747"/>
      <c r="G55" s="748"/>
      <c r="H55" s="151"/>
      <c r="I55" s="159">
        <f ca="1">OFFSET(Cost_Ingredients!$M$117,$D55,0)</f>
        <v>0</v>
      </c>
      <c r="J55" s="64"/>
      <c r="L55" s="162">
        <f ca="1">OFFSET(Cost_Ingredients!$N$117,$D55,0)*$J55</f>
        <v>0</v>
      </c>
      <c r="M55" s="162">
        <f ca="1">OFFSET(Cost_Ingredients!$O$117,$D55,0)*$J55</f>
        <v>0</v>
      </c>
      <c r="N55" s="163">
        <f ca="1">L55/Cost_Ingredients!$J$21</f>
        <v>0</v>
      </c>
      <c r="O55" s="163">
        <f ca="1">M55/Cost_Ingredients!$J$21</f>
        <v>0</v>
      </c>
      <c r="P55" s="151"/>
    </row>
    <row r="56" spans="3:16" s="23" customFormat="1" outlineLevel="1">
      <c r="D56" s="746">
        <v>1</v>
      </c>
      <c r="E56" s="747"/>
      <c r="F56" s="747"/>
      <c r="G56" s="748"/>
      <c r="H56" s="151"/>
      <c r="I56" s="159">
        <f ca="1">OFFSET(Cost_Ingredients!$M$117,$D56,0)</f>
        <v>0</v>
      </c>
      <c r="J56" s="64"/>
      <c r="L56" s="162">
        <f ca="1">OFFSET(Cost_Ingredients!$N$117,$D56,0)*$J56</f>
        <v>0</v>
      </c>
      <c r="M56" s="162">
        <f ca="1">OFFSET(Cost_Ingredients!$O$117,$D56,0)*$J56</f>
        <v>0</v>
      </c>
      <c r="N56" s="163">
        <f ca="1">L56/Cost_Ingredients!$J$21</f>
        <v>0</v>
      </c>
      <c r="O56" s="163">
        <f ca="1">M56/Cost_Ingredients!$J$21</f>
        <v>0</v>
      </c>
      <c r="P56" s="151"/>
    </row>
    <row r="57" spans="3:16" s="23" customFormat="1" outlineLevel="1">
      <c r="D57" s="746">
        <v>1</v>
      </c>
      <c r="E57" s="747"/>
      <c r="F57" s="747"/>
      <c r="G57" s="748"/>
      <c r="H57" s="151"/>
      <c r="I57" s="159">
        <f ca="1">OFFSET(Cost_Ingredients!$M$117,$D57,0)</f>
        <v>0</v>
      </c>
      <c r="J57" s="64"/>
      <c r="L57" s="162">
        <f ca="1">OFFSET(Cost_Ingredients!$N$117,$D57,0)*$J57</f>
        <v>0</v>
      </c>
      <c r="M57" s="162">
        <f ca="1">OFFSET(Cost_Ingredients!$O$117,$D57,0)*$J57</f>
        <v>0</v>
      </c>
      <c r="N57" s="163">
        <f ca="1">L57/Cost_Ingredients!$J$21</f>
        <v>0</v>
      </c>
      <c r="O57" s="163">
        <f ca="1">M57/Cost_Ingredients!$J$21</f>
        <v>0</v>
      </c>
      <c r="P57" s="151"/>
    </row>
    <row r="58" spans="3:16" s="23" customFormat="1" outlineLevel="1">
      <c r="D58" s="746">
        <v>1</v>
      </c>
      <c r="E58" s="747"/>
      <c r="F58" s="747"/>
      <c r="G58" s="748"/>
      <c r="H58" s="151"/>
      <c r="I58" s="159">
        <f ca="1">OFFSET(Cost_Ingredients!$M$117,$D58,0)</f>
        <v>0</v>
      </c>
      <c r="J58" s="64"/>
      <c r="L58" s="162">
        <f ca="1">OFFSET(Cost_Ingredients!$N$117,$D58,0)*$J58</f>
        <v>0</v>
      </c>
      <c r="M58" s="162">
        <f ca="1">OFFSET(Cost_Ingredients!$O$117,$D58,0)*$J58</f>
        <v>0</v>
      </c>
      <c r="N58" s="163">
        <f ca="1">L58/Cost_Ingredients!$J$21</f>
        <v>0</v>
      </c>
      <c r="O58" s="163">
        <f ca="1">M58/Cost_Ingredients!$J$21</f>
        <v>0</v>
      </c>
      <c r="P58" s="151"/>
    </row>
    <row r="59" spans="3:16" s="23" customFormat="1" outlineLevel="1">
      <c r="D59" s="746">
        <v>1</v>
      </c>
      <c r="E59" s="747"/>
      <c r="F59" s="747"/>
      <c r="G59" s="748"/>
      <c r="H59" s="151"/>
      <c r="I59" s="159">
        <f ca="1">OFFSET(Cost_Ingredients!$M$117,$D59,0)</f>
        <v>0</v>
      </c>
      <c r="J59" s="64"/>
      <c r="L59" s="162">
        <f ca="1">OFFSET(Cost_Ingredients!$N$117,$D59,0)*$J59</f>
        <v>0</v>
      </c>
      <c r="M59" s="162">
        <f ca="1">OFFSET(Cost_Ingredients!$O$117,$D59,0)*$J59</f>
        <v>0</v>
      </c>
      <c r="N59" s="163">
        <f ca="1">L59/Cost_Ingredients!$J$21</f>
        <v>0</v>
      </c>
      <c r="O59" s="163">
        <f ca="1">M59/Cost_Ingredients!$J$21</f>
        <v>0</v>
      </c>
      <c r="P59" s="151"/>
    </row>
    <row r="60" spans="3:16" s="23" customFormat="1" outlineLevel="1">
      <c r="D60" s="746">
        <v>1</v>
      </c>
      <c r="E60" s="747"/>
      <c r="F60" s="747"/>
      <c r="G60" s="748"/>
      <c r="H60" s="151"/>
      <c r="I60" s="159">
        <f ca="1">OFFSET(Cost_Ingredients!$M$117,$D60,0)</f>
        <v>0</v>
      </c>
      <c r="J60" s="64">
        <v>0</v>
      </c>
      <c r="L60" s="162">
        <f ca="1">OFFSET(Cost_Ingredients!$N$117,$D60,0)*$J60</f>
        <v>0</v>
      </c>
      <c r="M60" s="162">
        <f ca="1">OFFSET(Cost_Ingredients!$O$117,$D60,0)*$J60</f>
        <v>0</v>
      </c>
      <c r="N60" s="163">
        <f ca="1">L60/Cost_Ingredients!$J$21</f>
        <v>0</v>
      </c>
      <c r="O60" s="163">
        <f ca="1">M60/Cost_Ingredients!$J$21</f>
        <v>0</v>
      </c>
      <c r="P60" s="151"/>
    </row>
    <row r="61" spans="3:16" s="23" customFormat="1" outlineLevel="1">
      <c r="D61" s="746">
        <v>1</v>
      </c>
      <c r="E61" s="747"/>
      <c r="F61" s="747"/>
      <c r="G61" s="748"/>
      <c r="H61" s="151"/>
      <c r="I61" s="159">
        <f ca="1">OFFSET(Cost_Ingredients!$M$117,$D61,0)</f>
        <v>0</v>
      </c>
      <c r="J61" s="64">
        <v>0</v>
      </c>
      <c r="L61" s="162">
        <f ca="1">OFFSET(Cost_Ingredients!$N$117,$D61,0)*$J61</f>
        <v>0</v>
      </c>
      <c r="M61" s="162">
        <f ca="1">OFFSET(Cost_Ingredients!$O$117,$D61,0)*$J61</f>
        <v>0</v>
      </c>
      <c r="N61" s="163">
        <f ca="1">L61/Cost_Ingredients!$J$21</f>
        <v>0</v>
      </c>
      <c r="O61" s="163">
        <f ca="1">M61/Cost_Ingredients!$J$21</f>
        <v>0</v>
      </c>
      <c r="P61" s="151"/>
    </row>
    <row r="62" spans="3:16" s="23" customFormat="1" outlineLevel="1">
      <c r="D62" s="746">
        <v>1</v>
      </c>
      <c r="E62" s="747"/>
      <c r="F62" s="747"/>
      <c r="G62" s="748"/>
      <c r="H62" s="151"/>
      <c r="I62" s="159">
        <f ca="1">OFFSET(Cost_Ingredients!$M$117,$D62,0)</f>
        <v>0</v>
      </c>
      <c r="J62" s="64">
        <v>0</v>
      </c>
      <c r="L62" s="162">
        <f ca="1">OFFSET(Cost_Ingredients!$N$117,$D62,0)*$J62</f>
        <v>0</v>
      </c>
      <c r="M62" s="162">
        <f ca="1">OFFSET(Cost_Ingredients!$O$117,$D62,0)*$J62</f>
        <v>0</v>
      </c>
      <c r="N62" s="163">
        <f ca="1">L62/Cost_Ingredients!$J$21</f>
        <v>0</v>
      </c>
      <c r="O62" s="163">
        <f ca="1">M62/Cost_Ingredients!$J$21</f>
        <v>0</v>
      </c>
      <c r="P62" s="151"/>
    </row>
    <row r="63" spans="3:16" s="23" customFormat="1" outlineLevel="1">
      <c r="D63" s="746">
        <v>1</v>
      </c>
      <c r="E63" s="747"/>
      <c r="F63" s="747"/>
      <c r="G63" s="748"/>
      <c r="H63" s="151"/>
      <c r="I63" s="159">
        <f ca="1">OFFSET(Cost_Ingredients!$M$117,$D63,0)</f>
        <v>0</v>
      </c>
      <c r="J63" s="64">
        <v>0</v>
      </c>
      <c r="L63" s="162">
        <f ca="1">OFFSET(Cost_Ingredients!$N$117,$D63,0)*$J63</f>
        <v>0</v>
      </c>
      <c r="M63" s="162">
        <f ca="1">OFFSET(Cost_Ingredients!$O$117,$D63,0)*$J63</f>
        <v>0</v>
      </c>
      <c r="N63" s="163">
        <f ca="1">L63/Cost_Ingredients!$J$21</f>
        <v>0</v>
      </c>
      <c r="O63" s="163">
        <f ca="1">M63/Cost_Ingredients!$J$21</f>
        <v>0</v>
      </c>
      <c r="P63" s="151"/>
    </row>
    <row r="64" spans="3:16" s="23" customFormat="1" outlineLevel="1">
      <c r="D64" s="746">
        <v>1</v>
      </c>
      <c r="E64" s="747"/>
      <c r="F64" s="747"/>
      <c r="G64" s="748"/>
      <c r="H64" s="151"/>
      <c r="I64" s="159">
        <f ca="1">OFFSET(Cost_Ingredients!$M$117,$D64,0)</f>
        <v>0</v>
      </c>
      <c r="J64" s="64">
        <v>0</v>
      </c>
      <c r="L64" s="162">
        <f ca="1">OFFSET(Cost_Ingredients!$N$117,$D64,0)*$J64</f>
        <v>0</v>
      </c>
      <c r="M64" s="162">
        <f ca="1">OFFSET(Cost_Ingredients!$O$117,$D64,0)*$J64</f>
        <v>0</v>
      </c>
      <c r="N64" s="163">
        <f ca="1">L64/Cost_Ingredients!$J$21</f>
        <v>0</v>
      </c>
      <c r="O64" s="163">
        <f ca="1">M64/Cost_Ingredients!$J$21</f>
        <v>0</v>
      </c>
      <c r="P64" s="151"/>
    </row>
    <row r="65" spans="3:16" s="23" customFormat="1" outlineLevel="1">
      <c r="D65" s="746">
        <v>1</v>
      </c>
      <c r="E65" s="747"/>
      <c r="F65" s="747"/>
      <c r="G65" s="748"/>
      <c r="H65" s="151"/>
      <c r="I65" s="159">
        <f ca="1">OFFSET(Cost_Ingredients!$M$117,$D65,0)</f>
        <v>0</v>
      </c>
      <c r="J65" s="64">
        <v>0</v>
      </c>
      <c r="L65" s="162">
        <f ca="1">OFFSET(Cost_Ingredients!$N$117,$D65,0)*$J65</f>
        <v>0</v>
      </c>
      <c r="M65" s="162">
        <f ca="1">OFFSET(Cost_Ingredients!$O$117,$D65,0)*$J65</f>
        <v>0</v>
      </c>
      <c r="N65" s="163">
        <f ca="1">L65/Cost_Ingredients!$J$21</f>
        <v>0</v>
      </c>
      <c r="O65" s="163">
        <f ca="1">M65/Cost_Ingredients!$J$21</f>
        <v>0</v>
      </c>
      <c r="P65" s="151"/>
    </row>
    <row r="66" spans="3:16" s="23" customFormat="1" outlineLevel="1">
      <c r="D66" s="746">
        <v>1</v>
      </c>
      <c r="E66" s="747"/>
      <c r="F66" s="747"/>
      <c r="G66" s="748"/>
      <c r="H66" s="151"/>
      <c r="I66" s="159">
        <f ca="1">OFFSET(Cost_Ingredients!$M$117,$D66,0)</f>
        <v>0</v>
      </c>
      <c r="J66" s="64">
        <v>0</v>
      </c>
      <c r="L66" s="162">
        <f ca="1">OFFSET(Cost_Ingredients!$N$117,$D66,0)*$J66</f>
        <v>0</v>
      </c>
      <c r="M66" s="162">
        <f ca="1">OFFSET(Cost_Ingredients!$O$117,$D66,0)*$J66</f>
        <v>0</v>
      </c>
      <c r="N66" s="163">
        <f ca="1">L66/Cost_Ingredients!$J$21</f>
        <v>0</v>
      </c>
      <c r="O66" s="163">
        <f ca="1">M66/Cost_Ingredients!$J$21</f>
        <v>0</v>
      </c>
      <c r="P66" s="151"/>
    </row>
    <row r="67" spans="3:16" s="23" customFormat="1" outlineLevel="1">
      <c r="D67" s="746">
        <v>1</v>
      </c>
      <c r="E67" s="747"/>
      <c r="F67" s="747"/>
      <c r="G67" s="748"/>
      <c r="H67" s="151"/>
      <c r="I67" s="159">
        <f ca="1">OFFSET(Cost_Ingredients!$M$117,$D67,0)</f>
        <v>0</v>
      </c>
      <c r="J67" s="64">
        <v>0</v>
      </c>
      <c r="L67" s="162">
        <f ca="1">OFFSET(Cost_Ingredients!$N$117,$D67,0)*$J67</f>
        <v>0</v>
      </c>
      <c r="M67" s="162">
        <f ca="1">OFFSET(Cost_Ingredients!$O$117,$D67,0)*$J67</f>
        <v>0</v>
      </c>
      <c r="N67" s="163">
        <f ca="1">L67/Cost_Ingredients!$J$21</f>
        <v>0</v>
      </c>
      <c r="O67" s="163">
        <f ca="1">M67/Cost_Ingredients!$J$21</f>
        <v>0</v>
      </c>
      <c r="P67" s="151"/>
    </row>
    <row r="68" spans="3:16" s="23" customFormat="1" outlineLevel="1">
      <c r="D68" s="746">
        <v>1</v>
      </c>
      <c r="E68" s="747"/>
      <c r="F68" s="747"/>
      <c r="G68" s="748"/>
      <c r="H68" s="151"/>
      <c r="I68" s="159">
        <f ca="1">OFFSET(Cost_Ingredients!$M$117,$D68,0)</f>
        <v>0</v>
      </c>
      <c r="J68" s="64">
        <v>0</v>
      </c>
      <c r="L68" s="162">
        <f ca="1">OFFSET(Cost_Ingredients!$N$117,$D68,0)*$J68</f>
        <v>0</v>
      </c>
      <c r="M68" s="162">
        <f ca="1">OFFSET(Cost_Ingredients!$O$117,$D68,0)*$J68</f>
        <v>0</v>
      </c>
      <c r="N68" s="163">
        <f ca="1">L68/Cost_Ingredients!$J$21</f>
        <v>0</v>
      </c>
      <c r="O68" s="163">
        <f ca="1">M68/Cost_Ingredients!$J$21</f>
        <v>0</v>
      </c>
      <c r="P68" s="151"/>
    </row>
    <row r="69" spans="3:16" s="23" customFormat="1" outlineLevel="1">
      <c r="D69" s="746">
        <v>1</v>
      </c>
      <c r="E69" s="747"/>
      <c r="F69" s="747"/>
      <c r="G69" s="748"/>
      <c r="H69" s="172"/>
      <c r="I69" s="159">
        <f ca="1">OFFSET(Cost_Ingredients!$M$117,$D69,0)</f>
        <v>0</v>
      </c>
      <c r="J69" s="173">
        <v>0</v>
      </c>
      <c r="L69" s="162">
        <f ca="1">OFFSET(Cost_Ingredients!$N$117,$D69,0)*$J69</f>
        <v>0</v>
      </c>
      <c r="M69" s="162">
        <f ca="1">OFFSET(Cost_Ingredients!$O$117,$D69,0)*$J69</f>
        <v>0</v>
      </c>
      <c r="N69" s="163">
        <f ca="1">L69/Cost_Ingredients!$J$21</f>
        <v>0</v>
      </c>
      <c r="O69" s="163">
        <f ca="1">M69/Cost_Ingredients!$J$21</f>
        <v>0</v>
      </c>
      <c r="P69" s="172"/>
    </row>
    <row r="70" spans="3:16" s="23" customFormat="1">
      <c r="D70" s="754" t="str">
        <f>"Subtotal - "&amp;C53</f>
        <v>Subtotal - Supplies &amp; Materials</v>
      </c>
      <c r="E70" s="755"/>
      <c r="F70" s="755"/>
      <c r="G70" s="755"/>
      <c r="H70" s="156"/>
      <c r="I70" s="156"/>
      <c r="J70" s="69"/>
      <c r="L70" s="255">
        <f ca="1">SUM(L55:L69)</f>
        <v>0</v>
      </c>
      <c r="M70" s="255">
        <f ca="1">SUM(M55:M69)</f>
        <v>0</v>
      </c>
      <c r="N70" s="258">
        <f ca="1">SUM(N55:N69)</f>
        <v>0</v>
      </c>
      <c r="O70" s="258">
        <f ca="1">SUM(O55:O69)</f>
        <v>0</v>
      </c>
      <c r="P70" s="156"/>
    </row>
    <row r="71" spans="3:16" s="134" customFormat="1"/>
    <row r="72" spans="3:16" s="134" customFormat="1">
      <c r="C72" s="160" t="str">
        <f>FLU_LU!$D$281</f>
        <v>Other Direct Costs (Recurrent)</v>
      </c>
    </row>
    <row r="73" spans="3:16" s="134" customFormat="1" ht="28.8" outlineLevel="1">
      <c r="D73" s="733" t="s">
        <v>100</v>
      </c>
      <c r="E73" s="733"/>
      <c r="F73" s="733"/>
      <c r="G73" s="733"/>
      <c r="H73" s="142" t="s">
        <v>274</v>
      </c>
      <c r="I73" s="72" t="s">
        <v>275</v>
      </c>
      <c r="J73" s="152" t="s">
        <v>67</v>
      </c>
      <c r="L73" s="28" t="str">
        <f>"Financial Price ("&amp;FLU_LU!$D$79&amp;")"</f>
        <v>Financial Price (GOZ)</v>
      </c>
      <c r="M73" s="28" t="str">
        <f>"Economic Price ("&amp;FLU_LU!$D$79&amp;")"</f>
        <v>Economic Price (GOZ)</v>
      </c>
      <c r="N73" s="28" t="str">
        <f>"Financial Price ("&amp;FLU_LU!$D$78&amp;")"</f>
        <v>Financial Price (USD)</v>
      </c>
      <c r="O73" s="28" t="str">
        <f>"Economic Price ("&amp;FLU_LU!$D$78&amp;")"</f>
        <v>Economic Price (USD)</v>
      </c>
      <c r="P73" s="152" t="s">
        <v>68</v>
      </c>
    </row>
    <row r="74" spans="3:16" s="23" customFormat="1" outlineLevel="1">
      <c r="D74" s="746">
        <v>1</v>
      </c>
      <c r="E74" s="747"/>
      <c r="F74" s="747"/>
      <c r="G74" s="748"/>
      <c r="H74" s="151"/>
      <c r="I74" s="159">
        <f ca="1">OFFSET(Cost_Ingredients!$M$146,$D74,0)</f>
        <v>0</v>
      </c>
      <c r="J74" s="64"/>
      <c r="L74" s="162">
        <f ca="1">OFFSET(Cost_Ingredients!$N$146,$D74,0)*$J74</f>
        <v>0</v>
      </c>
      <c r="M74" s="162">
        <f ca="1">OFFSET(Cost_Ingredients!$O$146,$D74,0)*$J74</f>
        <v>0</v>
      </c>
      <c r="N74" s="163">
        <f ca="1">L74/Cost_Ingredients!$J$21</f>
        <v>0</v>
      </c>
      <c r="O74" s="163">
        <f ca="1">M74/Cost_Ingredients!$J$21</f>
        <v>0</v>
      </c>
      <c r="P74" s="151"/>
    </row>
    <row r="75" spans="3:16" s="23" customFormat="1" outlineLevel="1">
      <c r="D75" s="746">
        <v>1</v>
      </c>
      <c r="E75" s="747"/>
      <c r="F75" s="747"/>
      <c r="G75" s="748"/>
      <c r="H75" s="151"/>
      <c r="I75" s="159">
        <f ca="1">OFFSET(Cost_Ingredients!$M$146,$D75,0)</f>
        <v>0</v>
      </c>
      <c r="J75" s="64">
        <v>0</v>
      </c>
      <c r="L75" s="162">
        <f ca="1">OFFSET(Cost_Ingredients!$N$146,$D75,0)*$J75</f>
        <v>0</v>
      </c>
      <c r="M75" s="162">
        <f ca="1">OFFSET(Cost_Ingredients!$O$146,$D75,0)*$J75</f>
        <v>0</v>
      </c>
      <c r="N75" s="163">
        <f ca="1">L75/Cost_Ingredients!$J$21</f>
        <v>0</v>
      </c>
      <c r="O75" s="163">
        <f ca="1">M75/Cost_Ingredients!$J$21</f>
        <v>0</v>
      </c>
      <c r="P75" s="151"/>
    </row>
    <row r="76" spans="3:16" s="23" customFormat="1" outlineLevel="1">
      <c r="D76" s="746">
        <v>1</v>
      </c>
      <c r="E76" s="747"/>
      <c r="F76" s="747"/>
      <c r="G76" s="748"/>
      <c r="H76" s="151"/>
      <c r="I76" s="159">
        <f ca="1">OFFSET(Cost_Ingredients!$M$146,$D76,0)</f>
        <v>0</v>
      </c>
      <c r="J76" s="64">
        <v>0</v>
      </c>
      <c r="L76" s="162">
        <f ca="1">OFFSET(Cost_Ingredients!$N$146,$D76,0)*$J76</f>
        <v>0</v>
      </c>
      <c r="M76" s="162">
        <f ca="1">OFFSET(Cost_Ingredients!$O$146,$D76,0)*$J76</f>
        <v>0</v>
      </c>
      <c r="N76" s="163">
        <f ca="1">L76/Cost_Ingredients!$J$21</f>
        <v>0</v>
      </c>
      <c r="O76" s="163">
        <f ca="1">M76/Cost_Ingredients!$J$21</f>
        <v>0</v>
      </c>
      <c r="P76" s="151"/>
    </row>
    <row r="77" spans="3:16" s="23" customFormat="1" outlineLevel="1">
      <c r="D77" s="746">
        <v>1</v>
      </c>
      <c r="E77" s="747"/>
      <c r="F77" s="747"/>
      <c r="G77" s="748"/>
      <c r="H77" s="151"/>
      <c r="I77" s="159">
        <f ca="1">OFFSET(Cost_Ingredients!$M$146,$D77,0)</f>
        <v>0</v>
      </c>
      <c r="J77" s="64">
        <v>0</v>
      </c>
      <c r="L77" s="162">
        <f ca="1">OFFSET(Cost_Ingredients!$N$146,$D77,0)*$J77</f>
        <v>0</v>
      </c>
      <c r="M77" s="162">
        <f ca="1">OFFSET(Cost_Ingredients!$O$146,$D77,0)*$J77</f>
        <v>0</v>
      </c>
      <c r="N77" s="163">
        <f ca="1">L77/Cost_Ingredients!$J$21</f>
        <v>0</v>
      </c>
      <c r="O77" s="163">
        <f ca="1">M77/Cost_Ingredients!$J$21</f>
        <v>0</v>
      </c>
      <c r="P77" s="151"/>
    </row>
    <row r="78" spans="3:16" s="23" customFormat="1" outlineLevel="1">
      <c r="D78" s="746">
        <v>1</v>
      </c>
      <c r="E78" s="747"/>
      <c r="F78" s="747"/>
      <c r="G78" s="748"/>
      <c r="H78" s="151"/>
      <c r="I78" s="159">
        <f ca="1">OFFSET(Cost_Ingredients!$M$146,$D78,0)</f>
        <v>0</v>
      </c>
      <c r="J78" s="64">
        <v>0</v>
      </c>
      <c r="L78" s="162">
        <f ca="1">OFFSET(Cost_Ingredients!$N$146,$D78,0)*$J78</f>
        <v>0</v>
      </c>
      <c r="M78" s="162">
        <f ca="1">OFFSET(Cost_Ingredients!$O$146,$D78,0)*$J78</f>
        <v>0</v>
      </c>
      <c r="N78" s="163">
        <f ca="1">L78/Cost_Ingredients!$J$21</f>
        <v>0</v>
      </c>
      <c r="O78" s="163">
        <f ca="1">M78/Cost_Ingredients!$J$21</f>
        <v>0</v>
      </c>
      <c r="P78" s="151"/>
    </row>
    <row r="79" spans="3:16" s="23" customFormat="1" outlineLevel="1">
      <c r="D79" s="746">
        <v>1</v>
      </c>
      <c r="E79" s="747"/>
      <c r="F79" s="747"/>
      <c r="G79" s="748"/>
      <c r="H79" s="151"/>
      <c r="I79" s="159">
        <f ca="1">OFFSET(Cost_Ingredients!$M$146,$D79,0)</f>
        <v>0</v>
      </c>
      <c r="J79" s="64">
        <v>0</v>
      </c>
      <c r="L79" s="162">
        <f ca="1">OFFSET(Cost_Ingredients!$N$146,$D79,0)*$J79</f>
        <v>0</v>
      </c>
      <c r="M79" s="162">
        <f ca="1">OFFSET(Cost_Ingredients!$O$146,$D79,0)*$J79</f>
        <v>0</v>
      </c>
      <c r="N79" s="163">
        <f ca="1">L79/Cost_Ingredients!$J$21</f>
        <v>0</v>
      </c>
      <c r="O79" s="163">
        <f ca="1">M79/Cost_Ingredients!$J$21</f>
        <v>0</v>
      </c>
      <c r="P79" s="151"/>
    </row>
    <row r="80" spans="3:16" s="23" customFormat="1" outlineLevel="1">
      <c r="D80" s="746">
        <v>1</v>
      </c>
      <c r="E80" s="747"/>
      <c r="F80" s="747"/>
      <c r="G80" s="748"/>
      <c r="H80" s="151"/>
      <c r="I80" s="159">
        <f ca="1">OFFSET(Cost_Ingredients!$M$146,$D80,0)</f>
        <v>0</v>
      </c>
      <c r="J80" s="64">
        <v>0</v>
      </c>
      <c r="L80" s="162">
        <f ca="1">OFFSET(Cost_Ingredients!$N$146,$D80,0)*$J80</f>
        <v>0</v>
      </c>
      <c r="M80" s="162">
        <f ca="1">OFFSET(Cost_Ingredients!$O$146,$D80,0)*$J80</f>
        <v>0</v>
      </c>
      <c r="N80" s="163">
        <f ca="1">L80/Cost_Ingredients!$J$21</f>
        <v>0</v>
      </c>
      <c r="O80" s="163">
        <f ca="1">M80/Cost_Ingredients!$J$21</f>
        <v>0</v>
      </c>
      <c r="P80" s="151"/>
    </row>
    <row r="81" spans="2:16" s="23" customFormat="1" outlineLevel="1">
      <c r="D81" s="746">
        <v>1</v>
      </c>
      <c r="E81" s="747"/>
      <c r="F81" s="747"/>
      <c r="G81" s="748"/>
      <c r="H81" s="151"/>
      <c r="I81" s="159">
        <f ca="1">OFFSET(Cost_Ingredients!$M$146,$D81,0)</f>
        <v>0</v>
      </c>
      <c r="J81" s="64">
        <v>0</v>
      </c>
      <c r="L81" s="162">
        <f ca="1">OFFSET(Cost_Ingredients!$N$146,$D81,0)*$J81</f>
        <v>0</v>
      </c>
      <c r="M81" s="162">
        <f ca="1">OFFSET(Cost_Ingredients!$O$146,$D81,0)*$J81</f>
        <v>0</v>
      </c>
      <c r="N81" s="163">
        <f ca="1">L81/Cost_Ingredients!$J$21</f>
        <v>0</v>
      </c>
      <c r="O81" s="163">
        <f ca="1">M81/Cost_Ingredients!$J$21</f>
        <v>0</v>
      </c>
      <c r="P81" s="151"/>
    </row>
    <row r="82" spans="2:16" s="23" customFormat="1" outlineLevel="1">
      <c r="D82" s="746">
        <v>1</v>
      </c>
      <c r="E82" s="747"/>
      <c r="F82" s="747"/>
      <c r="G82" s="748"/>
      <c r="H82" s="151"/>
      <c r="I82" s="159">
        <f ca="1">OFFSET(Cost_Ingredients!$M$146,$D82,0)</f>
        <v>0</v>
      </c>
      <c r="J82" s="64">
        <v>0</v>
      </c>
      <c r="L82" s="162">
        <f ca="1">OFFSET(Cost_Ingredients!$N$146,$D82,0)*$J82</f>
        <v>0</v>
      </c>
      <c r="M82" s="162">
        <f ca="1">OFFSET(Cost_Ingredients!$O$146,$D82,0)*$J82</f>
        <v>0</v>
      </c>
      <c r="N82" s="163">
        <f ca="1">L82/Cost_Ingredients!$J$21</f>
        <v>0</v>
      </c>
      <c r="O82" s="163">
        <f ca="1">M82/Cost_Ingredients!$J$21</f>
        <v>0</v>
      </c>
      <c r="P82" s="151"/>
    </row>
    <row r="83" spans="2:16" s="23" customFormat="1" outlineLevel="1">
      <c r="D83" s="746">
        <v>1</v>
      </c>
      <c r="E83" s="747"/>
      <c r="F83" s="747"/>
      <c r="G83" s="748"/>
      <c r="H83" s="151"/>
      <c r="I83" s="159">
        <f ca="1">OFFSET(Cost_Ingredients!$M$146,$D83,0)</f>
        <v>0</v>
      </c>
      <c r="J83" s="64">
        <v>0</v>
      </c>
      <c r="L83" s="162">
        <f ca="1">OFFSET(Cost_Ingredients!$N$146,$D83,0)*$J83</f>
        <v>0</v>
      </c>
      <c r="M83" s="162">
        <f ca="1">OFFSET(Cost_Ingredients!$O$146,$D83,0)*$J83</f>
        <v>0</v>
      </c>
      <c r="N83" s="163">
        <f ca="1">L83/Cost_Ingredients!$J$21</f>
        <v>0</v>
      </c>
      <c r="O83" s="163">
        <f ca="1">M83/Cost_Ingredients!$J$21</f>
        <v>0</v>
      </c>
      <c r="P83" s="151"/>
    </row>
    <row r="84" spans="2:16" s="23" customFormat="1" outlineLevel="1">
      <c r="D84" s="746">
        <v>1</v>
      </c>
      <c r="E84" s="747"/>
      <c r="F84" s="747"/>
      <c r="G84" s="748"/>
      <c r="H84" s="151"/>
      <c r="I84" s="159">
        <f ca="1">OFFSET(Cost_Ingredients!$M$146,$D84,0)</f>
        <v>0</v>
      </c>
      <c r="J84" s="64">
        <v>0</v>
      </c>
      <c r="L84" s="162">
        <f ca="1">OFFSET(Cost_Ingredients!$N$146,$D84,0)*$J84</f>
        <v>0</v>
      </c>
      <c r="M84" s="162">
        <f ca="1">OFFSET(Cost_Ingredients!$O$146,$D84,0)*$J84</f>
        <v>0</v>
      </c>
      <c r="N84" s="163">
        <f ca="1">L84/Cost_Ingredients!$J$21</f>
        <v>0</v>
      </c>
      <c r="O84" s="163">
        <f ca="1">M84/Cost_Ingredients!$J$21</f>
        <v>0</v>
      </c>
      <c r="P84" s="151"/>
    </row>
    <row r="85" spans="2:16" s="23" customFormat="1" outlineLevel="1">
      <c r="D85" s="746">
        <v>1</v>
      </c>
      <c r="E85" s="747"/>
      <c r="F85" s="747"/>
      <c r="G85" s="748"/>
      <c r="H85" s="151"/>
      <c r="I85" s="159">
        <f ca="1">OFFSET(Cost_Ingredients!$M$146,$D85,0)</f>
        <v>0</v>
      </c>
      <c r="J85" s="64">
        <v>0</v>
      </c>
      <c r="L85" s="162">
        <f ca="1">OFFSET(Cost_Ingredients!$N$146,$D85,0)*$J85</f>
        <v>0</v>
      </c>
      <c r="M85" s="162">
        <f ca="1">OFFSET(Cost_Ingredients!$O$146,$D85,0)*$J85</f>
        <v>0</v>
      </c>
      <c r="N85" s="163">
        <f ca="1">L85/Cost_Ingredients!$J$21</f>
        <v>0</v>
      </c>
      <c r="O85" s="163">
        <f ca="1">M85/Cost_Ingredients!$J$21</f>
        <v>0</v>
      </c>
      <c r="P85" s="151"/>
    </row>
    <row r="86" spans="2:16" s="23" customFormat="1" outlineLevel="1">
      <c r="D86" s="746">
        <v>1</v>
      </c>
      <c r="E86" s="747"/>
      <c r="F86" s="747"/>
      <c r="G86" s="748"/>
      <c r="H86" s="151"/>
      <c r="I86" s="159">
        <f ca="1">OFFSET(Cost_Ingredients!$M$146,$D86,0)</f>
        <v>0</v>
      </c>
      <c r="J86" s="64">
        <v>0</v>
      </c>
      <c r="L86" s="162">
        <f ca="1">OFFSET(Cost_Ingredients!$N$146,$D86,0)*$J86</f>
        <v>0</v>
      </c>
      <c r="M86" s="162">
        <f ca="1">OFFSET(Cost_Ingredients!$O$146,$D86,0)*$J86</f>
        <v>0</v>
      </c>
      <c r="N86" s="163">
        <f ca="1">L86/Cost_Ingredients!$J$21</f>
        <v>0</v>
      </c>
      <c r="O86" s="163">
        <f ca="1">M86/Cost_Ingredients!$J$21</f>
        <v>0</v>
      </c>
      <c r="P86" s="151"/>
    </row>
    <row r="87" spans="2:16" s="23" customFormat="1" outlineLevel="1">
      <c r="D87" s="746">
        <v>1</v>
      </c>
      <c r="E87" s="747"/>
      <c r="F87" s="747"/>
      <c r="G87" s="748"/>
      <c r="H87" s="151"/>
      <c r="I87" s="159">
        <f ca="1">OFFSET(Cost_Ingredients!$M$146,$D87,0)</f>
        <v>0</v>
      </c>
      <c r="J87" s="64">
        <v>0</v>
      </c>
      <c r="L87" s="162">
        <f ca="1">OFFSET(Cost_Ingredients!$N$146,$D87,0)*$J87</f>
        <v>0</v>
      </c>
      <c r="M87" s="162">
        <f ca="1">OFFSET(Cost_Ingredients!$O$146,$D87,0)*$J87</f>
        <v>0</v>
      </c>
      <c r="N87" s="163">
        <f ca="1">L87/Cost_Ingredients!$J$21</f>
        <v>0</v>
      </c>
      <c r="O87" s="163">
        <f ca="1">M87/Cost_Ingredients!$J$21</f>
        <v>0</v>
      </c>
      <c r="P87" s="151"/>
    </row>
    <row r="88" spans="2:16" s="23" customFormat="1" outlineLevel="1">
      <c r="D88" s="746">
        <v>1</v>
      </c>
      <c r="E88" s="747"/>
      <c r="F88" s="747"/>
      <c r="G88" s="748"/>
      <c r="H88" s="172"/>
      <c r="I88" s="159">
        <f ca="1">OFFSET(Cost_Ingredients!$M$146,$D88,0)</f>
        <v>0</v>
      </c>
      <c r="J88" s="173">
        <v>0</v>
      </c>
      <c r="L88" s="162">
        <f ca="1">OFFSET(Cost_Ingredients!$N$146,$D88,0)*$J88</f>
        <v>0</v>
      </c>
      <c r="M88" s="162">
        <f ca="1">OFFSET(Cost_Ingredients!$O$146,$D88,0)*$J88</f>
        <v>0</v>
      </c>
      <c r="N88" s="163">
        <f ca="1">L88/Cost_Ingredients!$J$21</f>
        <v>0</v>
      </c>
      <c r="O88" s="163">
        <f ca="1">M88/Cost_Ingredients!$J$21</f>
        <v>0</v>
      </c>
      <c r="P88" s="172"/>
    </row>
    <row r="89" spans="2:16" s="23" customFormat="1">
      <c r="D89" s="754" t="str">
        <f>"Subtotal - "&amp;C72</f>
        <v>Subtotal - Other Direct Costs (Recurrent)</v>
      </c>
      <c r="E89" s="755"/>
      <c r="F89" s="755"/>
      <c r="G89" s="755"/>
      <c r="H89" s="156"/>
      <c r="I89" s="156"/>
      <c r="J89" s="69"/>
      <c r="L89" s="255">
        <f ca="1">SUM(L74:L88)</f>
        <v>0</v>
      </c>
      <c r="M89" s="255">
        <f ca="1">SUM(M74:M88)</f>
        <v>0</v>
      </c>
      <c r="N89" s="258">
        <f ca="1">SUM(N74:N88)</f>
        <v>0</v>
      </c>
      <c r="O89" s="258">
        <f ca="1">SUM(O74:O88)</f>
        <v>0</v>
      </c>
      <c r="P89" s="156"/>
    </row>
    <row r="90" spans="2:16" s="134" customFormat="1"/>
    <row r="91" spans="2:16" s="134" customFormat="1" ht="15" thickBot="1">
      <c r="C91" s="70" t="str">
        <f>HL_FLU_Micro_A_Assumptions&amp;" -Cost per Activity"</f>
        <v>Detailed Costing Develop Annual Influenza Programme Plan and Budget -Cost per Activity</v>
      </c>
      <c r="L91" s="191">
        <f ca="1">SUM(L32,L51,L70,L89)</f>
        <v>0</v>
      </c>
      <c r="M91" s="191">
        <f ca="1">SUM(M32,M51,M70,M89)</f>
        <v>47731.268749999996</v>
      </c>
      <c r="N91" s="227">
        <f ca="1">SUM(N32,N51,N70,N89)</f>
        <v>0</v>
      </c>
      <c r="O91" s="227">
        <f ca="1">SUM(O32,O51,O70,O89)</f>
        <v>318.20845833333334</v>
      </c>
    </row>
    <row r="92" spans="2:16" s="134" customFormat="1" ht="15" thickTop="1"/>
    <row r="93" spans="2:16" s="134" customFormat="1"/>
    <row r="94" spans="2:16" s="134" customFormat="1" ht="17.399999999999999">
      <c r="B94" s="81" t="str">
        <f>"Detailed Cost Estimate: "&amp;FLU_LU!$D$327</f>
        <v>Detailed Cost Estimate: Distribute Vacc Materials from IPH to 12 Directorates</v>
      </c>
    </row>
    <row r="95" spans="2:16" s="134" customFormat="1"/>
    <row r="96" spans="2:16" s="134" customFormat="1">
      <c r="F96" s="152" t="s">
        <v>597</v>
      </c>
      <c r="H96" s="758" t="str">
        <f>DISTRIB!G$17</f>
        <v>Distribution to Directorats Completed</v>
      </c>
      <c r="I96" s="758"/>
      <c r="J96" s="758"/>
      <c r="K96" s="758"/>
      <c r="L96" s="758"/>
      <c r="M96" s="758"/>
      <c r="N96" s="758"/>
      <c r="O96" s="758"/>
      <c r="P96" s="758"/>
    </row>
    <row r="97" spans="3:16" s="134" customFormat="1"/>
    <row r="98" spans="3:16" s="134" customFormat="1">
      <c r="E98" s="152" t="s">
        <v>273</v>
      </c>
    </row>
    <row r="99" spans="3:16" s="134" customFormat="1"/>
    <row r="100" spans="3:16" s="134" customFormat="1">
      <c r="C100" s="160" t="str">
        <f>FLU_LU!$D$278</f>
        <v xml:space="preserve">Personnel </v>
      </c>
    </row>
    <row r="101" spans="3:16" s="134" customFormat="1" ht="43.2" outlineLevel="1">
      <c r="D101" s="733" t="s">
        <v>100</v>
      </c>
      <c r="E101" s="733"/>
      <c r="F101" s="733"/>
      <c r="G101" s="733"/>
      <c r="H101" s="142" t="s">
        <v>274</v>
      </c>
      <c r="I101" s="72" t="s">
        <v>474</v>
      </c>
      <c r="J101" s="152" t="s">
        <v>67</v>
      </c>
      <c r="K101" s="72" t="s">
        <v>475</v>
      </c>
      <c r="L101" s="28" t="str">
        <f>"Financial Price ("&amp;FLU_LU!$D$79&amp;")"</f>
        <v>Financial Price (GOZ)</v>
      </c>
      <c r="M101" s="28" t="str">
        <f>"Economic Price ("&amp;FLU_LU!$D$79&amp;")"</f>
        <v>Economic Price (GOZ)</v>
      </c>
      <c r="N101" s="28" t="str">
        <f>"Financial Price ("&amp;FLU_LU!$D$78&amp;")"</f>
        <v>Financial Price (USD)</v>
      </c>
      <c r="O101" s="28" t="str">
        <f>"Economic Price ("&amp;FLU_LU!$D$78&amp;")"</f>
        <v>Economic Price (USD)</v>
      </c>
      <c r="P101" s="152" t="s">
        <v>68</v>
      </c>
    </row>
    <row r="102" spans="3:16" s="23" customFormat="1" outlineLevel="1">
      <c r="D102" s="746">
        <v>18</v>
      </c>
      <c r="E102" s="746"/>
      <c r="F102" s="746"/>
      <c r="G102" s="749"/>
      <c r="H102" s="151" t="s">
        <v>654</v>
      </c>
      <c r="I102" s="31">
        <v>2</v>
      </c>
      <c r="J102" s="64">
        <v>16</v>
      </c>
      <c r="K102" s="135">
        <f t="shared" ref="K102:K116" si="1">IF(I102=1,J102/FLU_DAYS_PER_MONTH,IF(I102=2,J102/FLU_HOURS_PER_MONTH,J102/FLU_MINUTES_PER_MONTH))</f>
        <v>9.0909090909090912E-2</v>
      </c>
      <c r="L102" s="162">
        <f ca="1">OFFSET(Cost_Ingredients!$N$73,D102,0)*$K102</f>
        <v>0</v>
      </c>
      <c r="M102" s="162">
        <f ca="1">OFFSET(Cost_Ingredients!$O$73,D102,0)*$K102</f>
        <v>8381.181818181818</v>
      </c>
      <c r="N102" s="179">
        <f ca="1">L102/Cost_Ingredients!$J$21</f>
        <v>0</v>
      </c>
      <c r="O102" s="179">
        <f ca="1">M102/Cost_Ingredients!$J$21</f>
        <v>55.874545454545455</v>
      </c>
      <c r="P102" s="151"/>
    </row>
    <row r="103" spans="3:16" s="23" customFormat="1" outlineLevel="1">
      <c r="D103" s="746">
        <v>17</v>
      </c>
      <c r="E103" s="746"/>
      <c r="F103" s="746"/>
      <c r="G103" s="749"/>
      <c r="H103" s="151" t="s">
        <v>654</v>
      </c>
      <c r="I103" s="31">
        <v>2</v>
      </c>
      <c r="J103" s="64">
        <v>16</v>
      </c>
      <c r="K103" s="135">
        <f t="shared" si="1"/>
        <v>9.0909090909090912E-2</v>
      </c>
      <c r="L103" s="162">
        <f ca="1">OFFSET(Cost_Ingredients!$N$73,D103,0)*$K103</f>
        <v>0</v>
      </c>
      <c r="M103" s="162">
        <f ca="1">OFFSET(Cost_Ingredients!$O$73,D103,0)*$K103</f>
        <v>12062.536363636364</v>
      </c>
      <c r="N103" s="179">
        <f ca="1">L103/Cost_Ingredients!$J$21</f>
        <v>0</v>
      </c>
      <c r="O103" s="179">
        <f ca="1">M103/Cost_Ingredients!$J$21</f>
        <v>80.416909090909087</v>
      </c>
      <c r="P103" s="151"/>
    </row>
    <row r="104" spans="3:16" s="23" customFormat="1" outlineLevel="1">
      <c r="D104" s="746">
        <v>7</v>
      </c>
      <c r="E104" s="746"/>
      <c r="F104" s="746"/>
      <c r="G104" s="749"/>
      <c r="H104" s="151" t="s">
        <v>654</v>
      </c>
      <c r="I104" s="31">
        <v>2</v>
      </c>
      <c r="J104" s="64">
        <v>16</v>
      </c>
      <c r="K104" s="135">
        <f t="shared" si="1"/>
        <v>9.0909090909090912E-2</v>
      </c>
      <c r="L104" s="162">
        <f ca="1">OFFSET(Cost_Ingredients!$N$73,D104,0)*$K104</f>
        <v>0</v>
      </c>
      <c r="M104" s="162">
        <f ca="1">OFFSET(Cost_Ingredients!$O$73,D104,0)*$K104</f>
        <v>10298.272727272728</v>
      </c>
      <c r="N104" s="179">
        <f ca="1">L104/Cost_Ingredients!$J$21</f>
        <v>0</v>
      </c>
      <c r="O104" s="179">
        <f ca="1">M104/Cost_Ingredients!$J$21</f>
        <v>68.655151515151516</v>
      </c>
      <c r="P104" s="151"/>
    </row>
    <row r="105" spans="3:16" s="23" customFormat="1" outlineLevel="1">
      <c r="D105" s="746">
        <v>7</v>
      </c>
      <c r="E105" s="746"/>
      <c r="F105" s="746"/>
      <c r="G105" s="749"/>
      <c r="H105" s="151" t="s">
        <v>654</v>
      </c>
      <c r="I105" s="31">
        <v>2</v>
      </c>
      <c r="J105" s="64">
        <v>16</v>
      </c>
      <c r="K105" s="135">
        <f t="shared" si="1"/>
        <v>9.0909090909090912E-2</v>
      </c>
      <c r="L105" s="162">
        <f ca="1">OFFSET(Cost_Ingredients!$N$73,D105,0)*$K105</f>
        <v>0</v>
      </c>
      <c r="M105" s="162">
        <f ca="1">OFFSET(Cost_Ingredients!$O$73,D105,0)*$K105</f>
        <v>10298.272727272728</v>
      </c>
      <c r="N105" s="179">
        <f ca="1">L105/Cost_Ingredients!$J$21</f>
        <v>0</v>
      </c>
      <c r="O105" s="179">
        <f ca="1">M105/Cost_Ingredients!$J$21</f>
        <v>68.655151515151516</v>
      </c>
      <c r="P105" s="151"/>
    </row>
    <row r="106" spans="3:16" s="23" customFormat="1" outlineLevel="1">
      <c r="D106" s="746">
        <v>16</v>
      </c>
      <c r="E106" s="746"/>
      <c r="F106" s="746"/>
      <c r="G106" s="749"/>
      <c r="H106" s="151" t="s">
        <v>654</v>
      </c>
      <c r="I106" s="31">
        <v>2</v>
      </c>
      <c r="J106" s="64">
        <v>16</v>
      </c>
      <c r="K106" s="135">
        <f t="shared" si="1"/>
        <v>9.0909090909090912E-2</v>
      </c>
      <c r="L106" s="162">
        <f ca="1">OFFSET(Cost_Ingredients!$N$73,D106,0)*$K106</f>
        <v>0</v>
      </c>
      <c r="M106" s="162">
        <f ca="1">OFFSET(Cost_Ingredients!$O$73,D106,0)*$K106</f>
        <v>7426.3636363636369</v>
      </c>
      <c r="N106" s="179">
        <f ca="1">L106/Cost_Ingredients!$J$21</f>
        <v>0</v>
      </c>
      <c r="O106" s="179">
        <f ca="1">M106/Cost_Ingredients!$J$21</f>
        <v>49.509090909090915</v>
      </c>
      <c r="P106" s="151"/>
    </row>
    <row r="107" spans="3:16" s="23" customFormat="1" outlineLevel="1">
      <c r="D107" s="746">
        <v>9</v>
      </c>
      <c r="E107" s="746"/>
      <c r="F107" s="746"/>
      <c r="G107" s="749"/>
      <c r="H107" s="151" t="s">
        <v>654</v>
      </c>
      <c r="I107" s="31">
        <v>2</v>
      </c>
      <c r="J107" s="64">
        <v>24</v>
      </c>
      <c r="K107" s="135">
        <f t="shared" si="1"/>
        <v>0.13636363636363635</v>
      </c>
      <c r="L107" s="162">
        <f ca="1">OFFSET(Cost_Ingredients!$N$73,D107,0)*$K107</f>
        <v>0</v>
      </c>
      <c r="M107" s="162">
        <f ca="1">OFFSET(Cost_Ingredients!$O$73,D107,0)*$K107</f>
        <v>11139.545454545454</v>
      </c>
      <c r="N107" s="179">
        <f ca="1">L107/Cost_Ingredients!$J$21</f>
        <v>0</v>
      </c>
      <c r="O107" s="179">
        <f ca="1">M107/Cost_Ingredients!$J$21</f>
        <v>74.263636363636365</v>
      </c>
      <c r="P107" s="151"/>
    </row>
    <row r="108" spans="3:16" s="23" customFormat="1" outlineLevel="1">
      <c r="D108" s="746">
        <v>22</v>
      </c>
      <c r="E108" s="746"/>
      <c r="F108" s="746"/>
      <c r="G108" s="749"/>
      <c r="H108" s="151" t="s">
        <v>654</v>
      </c>
      <c r="I108" s="31">
        <v>2</v>
      </c>
      <c r="J108" s="64">
        <v>24</v>
      </c>
      <c r="K108" s="135">
        <f t="shared" si="1"/>
        <v>0.13636363636363635</v>
      </c>
      <c r="L108" s="162">
        <f ca="1">OFFSET(Cost_Ingredients!$N$73,D108,0)*$K108</f>
        <v>0</v>
      </c>
      <c r="M108" s="162">
        <f ca="1">OFFSET(Cost_Ingredients!$O$73,D108,0)*$K108</f>
        <v>11139.545454545454</v>
      </c>
      <c r="N108" s="179">
        <f ca="1">L108/Cost_Ingredients!$J$21</f>
        <v>0</v>
      </c>
      <c r="O108" s="179">
        <f ca="1">M108/Cost_Ingredients!$J$21</f>
        <v>74.263636363636365</v>
      </c>
      <c r="P108" s="151"/>
    </row>
    <row r="109" spans="3:16" s="23" customFormat="1" outlineLevel="1">
      <c r="D109" s="746">
        <v>5</v>
      </c>
      <c r="E109" s="746"/>
      <c r="F109" s="746"/>
      <c r="G109" s="749"/>
      <c r="H109" s="151" t="s">
        <v>654</v>
      </c>
      <c r="I109" s="31">
        <v>2</v>
      </c>
      <c r="J109" s="64">
        <v>128</v>
      </c>
      <c r="K109" s="135">
        <f t="shared" si="1"/>
        <v>0.72727272727272729</v>
      </c>
      <c r="L109" s="162">
        <f ca="1">OFFSET(Cost_Ingredients!$N$73,D109,0)*$K109</f>
        <v>0</v>
      </c>
      <c r="M109" s="162">
        <f ca="1">OFFSET(Cost_Ingredients!$O$73,D109,0)*$K109</f>
        <v>33163.636363636368</v>
      </c>
      <c r="N109" s="179">
        <f ca="1">L109/Cost_Ingredients!$J$21</f>
        <v>0</v>
      </c>
      <c r="O109" s="179">
        <f ca="1">M109/Cost_Ingredients!$J$21</f>
        <v>221.09090909090912</v>
      </c>
      <c r="P109" s="151"/>
    </row>
    <row r="110" spans="3:16" s="23" customFormat="1" outlineLevel="1">
      <c r="D110" s="746">
        <v>22</v>
      </c>
      <c r="E110" s="746"/>
      <c r="F110" s="746"/>
      <c r="G110" s="749"/>
      <c r="H110" s="151" t="s">
        <v>659</v>
      </c>
      <c r="I110" s="31">
        <v>2</v>
      </c>
      <c r="J110" s="64">
        <v>18</v>
      </c>
      <c r="K110" s="135">
        <f t="shared" si="1"/>
        <v>0.10227272727272728</v>
      </c>
      <c r="L110" s="162">
        <f ca="1">OFFSET(Cost_Ingredients!$N$73,D110,0)*$K110</f>
        <v>0</v>
      </c>
      <c r="M110" s="162">
        <f ca="1">OFFSET(Cost_Ingredients!$O$73,D110,0)*$K110</f>
        <v>8354.6590909090919</v>
      </c>
      <c r="N110" s="179">
        <f ca="1">L110/Cost_Ingredients!$J$21</f>
        <v>0</v>
      </c>
      <c r="O110" s="179">
        <f ca="1">M110/Cost_Ingredients!$J$21</f>
        <v>55.697727272727278</v>
      </c>
      <c r="P110" s="151"/>
    </row>
    <row r="111" spans="3:16" s="23" customFormat="1" outlineLevel="1">
      <c r="D111" s="746">
        <v>9</v>
      </c>
      <c r="E111" s="746"/>
      <c r="F111" s="746"/>
      <c r="G111" s="749"/>
      <c r="H111" s="151" t="s">
        <v>659</v>
      </c>
      <c r="I111" s="31">
        <v>2</v>
      </c>
      <c r="J111" s="64">
        <v>18</v>
      </c>
      <c r="K111" s="135">
        <f t="shared" si="1"/>
        <v>0.10227272727272728</v>
      </c>
      <c r="L111" s="162">
        <f ca="1">OFFSET(Cost_Ingredients!$N$73,D111,0)*$K111</f>
        <v>0</v>
      </c>
      <c r="M111" s="162">
        <f ca="1">OFFSET(Cost_Ingredients!$O$73,D111,0)*$K111</f>
        <v>8354.6590909090919</v>
      </c>
      <c r="N111" s="179">
        <f ca="1">L111/Cost_Ingredients!$J$21</f>
        <v>0</v>
      </c>
      <c r="O111" s="179">
        <f ca="1">M111/Cost_Ingredients!$J$21</f>
        <v>55.697727272727278</v>
      </c>
      <c r="P111" s="151"/>
    </row>
    <row r="112" spans="3:16" s="23" customFormat="1" outlineLevel="1">
      <c r="D112" s="746">
        <v>9</v>
      </c>
      <c r="E112" s="746"/>
      <c r="F112" s="746"/>
      <c r="G112" s="749"/>
      <c r="H112" s="151" t="s">
        <v>653</v>
      </c>
      <c r="I112" s="31">
        <v>2</v>
      </c>
      <c r="J112" s="64">
        <v>24</v>
      </c>
      <c r="K112" s="135">
        <f t="shared" si="1"/>
        <v>0.13636363636363635</v>
      </c>
      <c r="L112" s="162">
        <f ca="1">OFFSET(Cost_Ingredients!$N$73,D112,0)*$K112</f>
        <v>0</v>
      </c>
      <c r="M112" s="162">
        <f ca="1">OFFSET(Cost_Ingredients!$O$73,D112,0)*$K112</f>
        <v>11139.545454545454</v>
      </c>
      <c r="N112" s="179">
        <f ca="1">L112/Cost_Ingredients!$J$21</f>
        <v>0</v>
      </c>
      <c r="O112" s="179">
        <f ca="1">M112/Cost_Ingredients!$J$21</f>
        <v>74.263636363636365</v>
      </c>
      <c r="P112" s="151"/>
    </row>
    <row r="113" spans="3:16" s="23" customFormat="1" outlineLevel="1">
      <c r="D113" s="746">
        <v>4</v>
      </c>
      <c r="E113" s="746"/>
      <c r="F113" s="746"/>
      <c r="G113" s="749"/>
      <c r="H113" s="151" t="s">
        <v>657</v>
      </c>
      <c r="I113" s="31">
        <v>2</v>
      </c>
      <c r="J113" s="64">
        <v>36</v>
      </c>
      <c r="K113" s="135">
        <f t="shared" si="1"/>
        <v>0.20454545454545456</v>
      </c>
      <c r="L113" s="162">
        <f ca="1">OFFSET(Cost_Ingredients!$N$73,D113,0)*$K113</f>
        <v>0</v>
      </c>
      <c r="M113" s="162">
        <f ca="1">OFFSET(Cost_Ingredients!$O$73,D113,0)*$K113</f>
        <v>10741.704545454546</v>
      </c>
      <c r="N113" s="179">
        <f ca="1">L113/Cost_Ingredients!$J$21</f>
        <v>0</v>
      </c>
      <c r="O113" s="179">
        <f ca="1">M113/Cost_Ingredients!$J$21</f>
        <v>71.611363636363635</v>
      </c>
      <c r="P113" s="151"/>
    </row>
    <row r="114" spans="3:16" s="23" customFormat="1" outlineLevel="1">
      <c r="D114" s="746">
        <v>3</v>
      </c>
      <c r="E114" s="746"/>
      <c r="F114" s="746"/>
      <c r="G114" s="749"/>
      <c r="H114" s="151" t="s">
        <v>660</v>
      </c>
      <c r="I114" s="31">
        <v>2</v>
      </c>
      <c r="J114" s="64">
        <v>18</v>
      </c>
      <c r="K114" s="135">
        <f t="shared" si="1"/>
        <v>0.10227272727272728</v>
      </c>
      <c r="L114" s="162">
        <f ca="1">OFFSET(Cost_Ingredients!$N$73,D114,0)*$K114</f>
        <v>0</v>
      </c>
      <c r="M114" s="162">
        <f ca="1">OFFSET(Cost_Ingredients!$O$73,D114,0)*$K114</f>
        <v>0</v>
      </c>
      <c r="N114" s="179">
        <f ca="1">L114/Cost_Ingredients!$J$21</f>
        <v>0</v>
      </c>
      <c r="O114" s="179">
        <f ca="1">M114/Cost_Ingredients!$J$21</f>
        <v>0</v>
      </c>
      <c r="P114" s="151"/>
    </row>
    <row r="115" spans="3:16" s="23" customFormat="1" outlineLevel="1">
      <c r="D115" s="746">
        <v>2</v>
      </c>
      <c r="E115" s="746"/>
      <c r="F115" s="746"/>
      <c r="G115" s="749"/>
      <c r="H115" s="151" t="s">
        <v>661</v>
      </c>
      <c r="I115" s="31">
        <v>2</v>
      </c>
      <c r="J115" s="64">
        <v>3</v>
      </c>
      <c r="K115" s="135">
        <f t="shared" si="1"/>
        <v>1.7045454545454544E-2</v>
      </c>
      <c r="L115" s="162">
        <f ca="1">OFFSET(Cost_Ingredients!$N$73,D115,0)*$K115</f>
        <v>0</v>
      </c>
      <c r="M115" s="162">
        <f ca="1">OFFSET(Cost_Ingredients!$O$73,D115,0)*$K115</f>
        <v>0</v>
      </c>
      <c r="N115" s="179">
        <f ca="1">L115/Cost_Ingredients!$J$21</f>
        <v>0</v>
      </c>
      <c r="O115" s="179">
        <f ca="1">M115/Cost_Ingredients!$J$21</f>
        <v>0</v>
      </c>
      <c r="P115" s="151"/>
    </row>
    <row r="116" spans="3:16" s="23" customFormat="1" outlineLevel="1">
      <c r="D116" s="746">
        <v>1</v>
      </c>
      <c r="E116" s="746"/>
      <c r="F116" s="746"/>
      <c r="G116" s="749"/>
      <c r="H116" s="172"/>
      <c r="I116" s="31">
        <v>2</v>
      </c>
      <c r="J116" s="173">
        <v>0</v>
      </c>
      <c r="K116" s="135">
        <f t="shared" si="1"/>
        <v>0</v>
      </c>
      <c r="L116" s="162">
        <f ca="1">OFFSET(Cost_Ingredients!$N$73,D116,0)*$K116</f>
        <v>0</v>
      </c>
      <c r="M116" s="162">
        <f ca="1">OFFSET(Cost_Ingredients!$O$73,D116,0)*$K116</f>
        <v>0</v>
      </c>
      <c r="N116" s="179">
        <f ca="1">L116/Cost_Ingredients!$J$21</f>
        <v>0</v>
      </c>
      <c r="O116" s="179">
        <f ca="1">M116/Cost_Ingredients!$J$21</f>
        <v>0</v>
      </c>
      <c r="P116" s="172"/>
    </row>
    <row r="117" spans="3:16" s="23" customFormat="1">
      <c r="D117" s="12"/>
      <c r="E117" s="12"/>
      <c r="F117" s="12"/>
      <c r="G117" s="12"/>
      <c r="H117" s="156"/>
      <c r="I117" s="12"/>
      <c r="J117" s="69"/>
      <c r="K117" s="18"/>
      <c r="L117" s="255">
        <f ca="1">SUM(L102:L116)</f>
        <v>0</v>
      </c>
      <c r="M117" s="255">
        <f ca="1">SUM(M102:M116)</f>
        <v>142499.92272727273</v>
      </c>
      <c r="N117" s="258">
        <f ca="1">SUM(N102:N116)</f>
        <v>0</v>
      </c>
      <c r="O117" s="258">
        <f ca="1">SUM(O102:O116)</f>
        <v>949.99948484848494</v>
      </c>
      <c r="P117" s="156"/>
    </row>
    <row r="118" spans="3:16" s="134" customFormat="1"/>
    <row r="119" spans="3:16" s="134" customFormat="1">
      <c r="C119" s="160" t="str">
        <f>FLU_LU!$D$279</f>
        <v>Allowances</v>
      </c>
    </row>
    <row r="120" spans="3:16" s="134" customFormat="1" ht="28.8" outlineLevel="1">
      <c r="D120" s="733" t="s">
        <v>100</v>
      </c>
      <c r="E120" s="733"/>
      <c r="F120" s="733"/>
      <c r="G120" s="733"/>
      <c r="H120" s="730" t="s">
        <v>274</v>
      </c>
      <c r="I120" s="730"/>
      <c r="J120" s="152" t="s">
        <v>67</v>
      </c>
      <c r="L120" s="28" t="str">
        <f>"Financial Price ("&amp;FLU_LU!$D$79&amp;")"</f>
        <v>Financial Price (GOZ)</v>
      </c>
      <c r="M120" s="28" t="str">
        <f>"Economic Price ("&amp;FLU_LU!$D$79&amp;")"</f>
        <v>Economic Price (GOZ)</v>
      </c>
      <c r="N120" s="28" t="str">
        <f>"Financial Price ("&amp;FLU_LU!$D$78&amp;")"</f>
        <v>Financial Price (USD)</v>
      </c>
      <c r="O120" s="28" t="str">
        <f>"Economic Price ("&amp;FLU_LU!$D$78&amp;")"</f>
        <v>Economic Price (USD)</v>
      </c>
      <c r="P120" s="152" t="s">
        <v>68</v>
      </c>
    </row>
    <row r="121" spans="3:16" s="23" customFormat="1" outlineLevel="1">
      <c r="D121" s="746">
        <v>2</v>
      </c>
      <c r="E121" s="747"/>
      <c r="F121" s="747"/>
      <c r="G121" s="748"/>
      <c r="H121" s="667" t="s">
        <v>655</v>
      </c>
      <c r="I121" s="667"/>
      <c r="J121" s="64">
        <v>30</v>
      </c>
      <c r="L121" s="162">
        <f ca="1">OFFSET(Cost_Ingredients!$N$103,$D121,0)*$J121</f>
        <v>165000</v>
      </c>
      <c r="M121" s="162">
        <f ca="1">OFFSET(Cost_Ingredients!$O$103,$D121,0)*$J121</f>
        <v>165000</v>
      </c>
      <c r="N121" s="163">
        <f ca="1">L121/Cost_Ingredients!$J$21</f>
        <v>1100</v>
      </c>
      <c r="O121" s="163">
        <f ca="1">M121/Cost_Ingredients!$J$21</f>
        <v>1100</v>
      </c>
      <c r="P121" s="151"/>
    </row>
    <row r="122" spans="3:16" s="23" customFormat="1" outlineLevel="1">
      <c r="D122" s="746">
        <v>2</v>
      </c>
      <c r="E122" s="747"/>
      <c r="F122" s="747"/>
      <c r="G122" s="748"/>
      <c r="H122" s="667" t="s">
        <v>656</v>
      </c>
      <c r="I122" s="667"/>
      <c r="J122" s="64">
        <v>4</v>
      </c>
      <c r="L122" s="162">
        <f ca="1">OFFSET(Cost_Ingredients!$N$103,$D122,0)*$J122</f>
        <v>22000</v>
      </c>
      <c r="M122" s="162">
        <f ca="1">OFFSET(Cost_Ingredients!$O$103,$D122,0)*$J122</f>
        <v>22000</v>
      </c>
      <c r="N122" s="163">
        <f ca="1">L122/Cost_Ingredients!$J$21</f>
        <v>146.66666666666666</v>
      </c>
      <c r="O122" s="163">
        <f ca="1">M122/Cost_Ingredients!$J$21</f>
        <v>146.66666666666666</v>
      </c>
      <c r="P122" s="151"/>
    </row>
    <row r="123" spans="3:16" s="23" customFormat="1" outlineLevel="1">
      <c r="D123" s="746">
        <v>1</v>
      </c>
      <c r="E123" s="747"/>
      <c r="F123" s="747"/>
      <c r="G123" s="748"/>
      <c r="H123" s="667"/>
      <c r="I123" s="667"/>
      <c r="J123" s="64"/>
      <c r="L123" s="162">
        <f ca="1">OFFSET(Cost_Ingredients!$N$103,$D123,0)*$J123</f>
        <v>0</v>
      </c>
      <c r="M123" s="162">
        <f ca="1">OFFSET(Cost_Ingredients!$O$103,$D123,0)*$J123</f>
        <v>0</v>
      </c>
      <c r="N123" s="163">
        <f ca="1">L123/Cost_Ingredients!$J$21</f>
        <v>0</v>
      </c>
      <c r="O123" s="163">
        <f ca="1">M123/Cost_Ingredients!$J$21</f>
        <v>0</v>
      </c>
      <c r="P123" s="151"/>
    </row>
    <row r="124" spans="3:16" s="23" customFormat="1" outlineLevel="1">
      <c r="D124" s="746">
        <v>1</v>
      </c>
      <c r="E124" s="747"/>
      <c r="F124" s="747"/>
      <c r="G124" s="748"/>
      <c r="H124" s="667"/>
      <c r="I124" s="667"/>
      <c r="J124" s="64"/>
      <c r="L124" s="162">
        <f ca="1">OFFSET(Cost_Ingredients!$N$103,$D124,0)*$J124</f>
        <v>0</v>
      </c>
      <c r="M124" s="162">
        <f ca="1">OFFSET(Cost_Ingredients!$O$103,$D124,0)*$J124</f>
        <v>0</v>
      </c>
      <c r="N124" s="163">
        <f ca="1">L124/Cost_Ingredients!$J$21</f>
        <v>0</v>
      </c>
      <c r="O124" s="163">
        <f ca="1">M124/Cost_Ingredients!$J$21</f>
        <v>0</v>
      </c>
      <c r="P124" s="151"/>
    </row>
    <row r="125" spans="3:16" s="23" customFormat="1" outlineLevel="1">
      <c r="D125" s="746">
        <v>1</v>
      </c>
      <c r="E125" s="747"/>
      <c r="F125" s="747"/>
      <c r="G125" s="748"/>
      <c r="H125" s="667"/>
      <c r="I125" s="667"/>
      <c r="J125" s="64"/>
      <c r="L125" s="162">
        <f ca="1">OFFSET(Cost_Ingredients!$N$103,$D125,0)*$J125</f>
        <v>0</v>
      </c>
      <c r="M125" s="162">
        <f ca="1">OFFSET(Cost_Ingredients!$O$103,$D125,0)*$J125</f>
        <v>0</v>
      </c>
      <c r="N125" s="163">
        <f ca="1">L125/Cost_Ingredients!$J$21</f>
        <v>0</v>
      </c>
      <c r="O125" s="163">
        <f ca="1">M125/Cost_Ingredients!$J$21</f>
        <v>0</v>
      </c>
      <c r="P125" s="151"/>
    </row>
    <row r="126" spans="3:16" s="23" customFormat="1" outlineLevel="1">
      <c r="D126" s="746">
        <v>1</v>
      </c>
      <c r="E126" s="747"/>
      <c r="F126" s="747"/>
      <c r="G126" s="748"/>
      <c r="H126" s="667"/>
      <c r="I126" s="667"/>
      <c r="J126" s="64"/>
      <c r="L126" s="162">
        <f ca="1">OFFSET(Cost_Ingredients!$N$103,$D126,0)*$J126</f>
        <v>0</v>
      </c>
      <c r="M126" s="162">
        <f ca="1">OFFSET(Cost_Ingredients!$O$103,$D126,0)*$J126</f>
        <v>0</v>
      </c>
      <c r="N126" s="163">
        <f ca="1">L126/Cost_Ingredients!$J$21</f>
        <v>0</v>
      </c>
      <c r="O126" s="163">
        <f ca="1">M126/Cost_Ingredients!$J$21</f>
        <v>0</v>
      </c>
      <c r="P126" s="151"/>
    </row>
    <row r="127" spans="3:16" s="23" customFormat="1" outlineLevel="1">
      <c r="D127" s="746">
        <v>1</v>
      </c>
      <c r="E127" s="747"/>
      <c r="F127" s="747"/>
      <c r="G127" s="748"/>
      <c r="H127" s="667"/>
      <c r="I127" s="667"/>
      <c r="J127" s="64"/>
      <c r="L127" s="162">
        <f ca="1">OFFSET(Cost_Ingredients!$N$103,$D127,0)*$J127</f>
        <v>0</v>
      </c>
      <c r="M127" s="162">
        <f ca="1">OFFSET(Cost_Ingredients!$O$103,$D127,0)*$J127</f>
        <v>0</v>
      </c>
      <c r="N127" s="163">
        <f ca="1">L127/Cost_Ingredients!$J$21</f>
        <v>0</v>
      </c>
      <c r="O127" s="163">
        <f ca="1">M127/Cost_Ingredients!$J$21</f>
        <v>0</v>
      </c>
      <c r="P127" s="151"/>
    </row>
    <row r="128" spans="3:16" s="23" customFormat="1" outlineLevel="1">
      <c r="D128" s="746">
        <v>1</v>
      </c>
      <c r="E128" s="747"/>
      <c r="F128" s="747"/>
      <c r="G128" s="748"/>
      <c r="H128" s="667"/>
      <c r="I128" s="667"/>
      <c r="J128" s="64"/>
      <c r="L128" s="162">
        <f ca="1">OFFSET(Cost_Ingredients!$N$103,$D128,0)*$J128</f>
        <v>0</v>
      </c>
      <c r="M128" s="162">
        <f ca="1">OFFSET(Cost_Ingredients!$O$103,$D128,0)*$J128</f>
        <v>0</v>
      </c>
      <c r="N128" s="163">
        <f ca="1">L128/Cost_Ingredients!$J$21</f>
        <v>0</v>
      </c>
      <c r="O128" s="163">
        <f ca="1">M128/Cost_Ingredients!$J$21</f>
        <v>0</v>
      </c>
      <c r="P128" s="151"/>
    </row>
    <row r="129" spans="3:16" s="23" customFormat="1" outlineLevel="1">
      <c r="D129" s="746">
        <v>1</v>
      </c>
      <c r="E129" s="747"/>
      <c r="F129" s="747"/>
      <c r="G129" s="748"/>
      <c r="H129" s="667"/>
      <c r="I129" s="667"/>
      <c r="J129" s="64"/>
      <c r="L129" s="162">
        <f ca="1">OFFSET(Cost_Ingredients!$N$103,$D129,0)*$J129</f>
        <v>0</v>
      </c>
      <c r="M129" s="162">
        <f ca="1">OFFSET(Cost_Ingredients!$O$103,$D129,0)*$J129</f>
        <v>0</v>
      </c>
      <c r="N129" s="163">
        <f ca="1">L129/Cost_Ingredients!$J$21</f>
        <v>0</v>
      </c>
      <c r="O129" s="163">
        <f ca="1">M129/Cost_Ingredients!$J$21</f>
        <v>0</v>
      </c>
      <c r="P129" s="151"/>
    </row>
    <row r="130" spans="3:16" s="23" customFormat="1" outlineLevel="1">
      <c r="D130" s="746">
        <v>1</v>
      </c>
      <c r="E130" s="747"/>
      <c r="F130" s="747"/>
      <c r="G130" s="748"/>
      <c r="H130" s="667"/>
      <c r="I130" s="667"/>
      <c r="J130" s="64"/>
      <c r="L130" s="162">
        <f ca="1">OFFSET(Cost_Ingredients!$N$103,$D130,0)*$J130</f>
        <v>0</v>
      </c>
      <c r="M130" s="162">
        <f ca="1">OFFSET(Cost_Ingredients!$O$103,$D130,0)*$J130</f>
        <v>0</v>
      </c>
      <c r="N130" s="163">
        <f ca="1">L130/Cost_Ingredients!$J$21</f>
        <v>0</v>
      </c>
      <c r="O130" s="163">
        <f ca="1">M130/Cost_Ingredients!$J$21</f>
        <v>0</v>
      </c>
      <c r="P130" s="151"/>
    </row>
    <row r="131" spans="3:16" s="23" customFormat="1" outlineLevel="1">
      <c r="D131" s="746">
        <v>1</v>
      </c>
      <c r="E131" s="747"/>
      <c r="F131" s="747"/>
      <c r="G131" s="748"/>
      <c r="H131" s="667"/>
      <c r="I131" s="667"/>
      <c r="J131" s="64"/>
      <c r="L131" s="162">
        <f ca="1">OFFSET(Cost_Ingredients!$N$103,$D131,0)*$J131</f>
        <v>0</v>
      </c>
      <c r="M131" s="162">
        <f ca="1">OFFSET(Cost_Ingredients!$O$103,$D131,0)*$J131</f>
        <v>0</v>
      </c>
      <c r="N131" s="163">
        <f ca="1">L131/Cost_Ingredients!$J$21</f>
        <v>0</v>
      </c>
      <c r="O131" s="163">
        <f ca="1">M131/Cost_Ingredients!$J$21</f>
        <v>0</v>
      </c>
      <c r="P131" s="151"/>
    </row>
    <row r="132" spans="3:16" s="23" customFormat="1" outlineLevel="1">
      <c r="D132" s="746">
        <v>1</v>
      </c>
      <c r="E132" s="747"/>
      <c r="F132" s="747"/>
      <c r="G132" s="748"/>
      <c r="H132" s="667"/>
      <c r="I132" s="667"/>
      <c r="J132" s="64"/>
      <c r="L132" s="162">
        <f ca="1">OFFSET(Cost_Ingredients!$N$103,$D132,0)*$J132</f>
        <v>0</v>
      </c>
      <c r="M132" s="162">
        <f ca="1">OFFSET(Cost_Ingredients!$O$103,$D132,0)*$J132</f>
        <v>0</v>
      </c>
      <c r="N132" s="163">
        <f ca="1">L132/Cost_Ingredients!$J$21</f>
        <v>0</v>
      </c>
      <c r="O132" s="163">
        <f ca="1">M132/Cost_Ingredients!$J$21</f>
        <v>0</v>
      </c>
      <c r="P132" s="151"/>
    </row>
    <row r="133" spans="3:16" s="23" customFormat="1" outlineLevel="1">
      <c r="D133" s="746">
        <v>1</v>
      </c>
      <c r="E133" s="747"/>
      <c r="F133" s="747"/>
      <c r="G133" s="748"/>
      <c r="H133" s="667"/>
      <c r="I133" s="667"/>
      <c r="J133" s="64"/>
      <c r="L133" s="162">
        <f ca="1">OFFSET(Cost_Ingredients!$N$103,$D133,0)*$J133</f>
        <v>0</v>
      </c>
      <c r="M133" s="162">
        <f ca="1">OFFSET(Cost_Ingredients!$O$103,$D133,0)*$J133</f>
        <v>0</v>
      </c>
      <c r="N133" s="163">
        <f ca="1">L133/Cost_Ingredients!$J$21</f>
        <v>0</v>
      </c>
      <c r="O133" s="163">
        <f ca="1">M133/Cost_Ingredients!$J$21</f>
        <v>0</v>
      </c>
      <c r="P133" s="151"/>
    </row>
    <row r="134" spans="3:16" s="23" customFormat="1" outlineLevel="1">
      <c r="D134" s="746">
        <v>1</v>
      </c>
      <c r="E134" s="747"/>
      <c r="F134" s="747"/>
      <c r="G134" s="748"/>
      <c r="H134" s="667"/>
      <c r="I134" s="667"/>
      <c r="J134" s="64"/>
      <c r="L134" s="162">
        <f ca="1">OFFSET(Cost_Ingredients!$N$103,$D134,0)*$J134</f>
        <v>0</v>
      </c>
      <c r="M134" s="162">
        <f ca="1">OFFSET(Cost_Ingredients!$O$103,$D134,0)*$J134</f>
        <v>0</v>
      </c>
      <c r="N134" s="163">
        <f ca="1">L134/Cost_Ingredients!$J$21</f>
        <v>0</v>
      </c>
      <c r="O134" s="163">
        <f ca="1">M134/Cost_Ingredients!$J$21</f>
        <v>0</v>
      </c>
      <c r="P134" s="151"/>
    </row>
    <row r="135" spans="3:16" s="23" customFormat="1" outlineLevel="1">
      <c r="D135" s="746">
        <v>1</v>
      </c>
      <c r="E135" s="747"/>
      <c r="F135" s="747"/>
      <c r="G135" s="748"/>
      <c r="H135" s="745"/>
      <c r="I135" s="745"/>
      <c r="J135" s="173">
        <v>0</v>
      </c>
      <c r="L135" s="162">
        <f ca="1">OFFSET(Cost_Ingredients!$N$103,$D135,0)*$J135</f>
        <v>0</v>
      </c>
      <c r="M135" s="162">
        <f ca="1">OFFSET(Cost_Ingredients!$O$103,$D135,0)*$J135</f>
        <v>0</v>
      </c>
      <c r="N135" s="163">
        <f ca="1">L135/Cost_Ingredients!$J$21</f>
        <v>0</v>
      </c>
      <c r="O135" s="163">
        <f ca="1">M135/Cost_Ingredients!$J$21</f>
        <v>0</v>
      </c>
      <c r="P135" s="172"/>
    </row>
    <row r="136" spans="3:16" s="23" customFormat="1">
      <c r="D136" s="754" t="str">
        <f>"Subtotal - "&amp;C119</f>
        <v>Subtotal - Allowances</v>
      </c>
      <c r="E136" s="755"/>
      <c r="F136" s="755"/>
      <c r="G136" s="755"/>
      <c r="H136" s="156"/>
      <c r="I136" s="156"/>
      <c r="J136" s="69"/>
      <c r="L136" s="255">
        <f ca="1">SUM(L121:L135)</f>
        <v>187000</v>
      </c>
      <c r="M136" s="255">
        <f ca="1">SUM(M121:M135)</f>
        <v>187000</v>
      </c>
      <c r="N136" s="258">
        <f ca="1">SUM(N121:N135)</f>
        <v>1246.6666666666667</v>
      </c>
      <c r="O136" s="258">
        <f ca="1">SUM(O121:O135)</f>
        <v>1246.6666666666667</v>
      </c>
      <c r="P136" s="156"/>
    </row>
    <row r="137" spans="3:16" s="134" customFormat="1"/>
    <row r="138" spans="3:16" s="134" customFormat="1">
      <c r="C138" s="160" t="str">
        <f>FLU_LU!$D$280</f>
        <v>Supplies &amp; Materials</v>
      </c>
    </row>
    <row r="139" spans="3:16" s="134" customFormat="1" ht="28.8" outlineLevel="1">
      <c r="D139" s="733" t="s">
        <v>100</v>
      </c>
      <c r="E139" s="733"/>
      <c r="F139" s="733"/>
      <c r="G139" s="733"/>
      <c r="H139" s="142" t="s">
        <v>274</v>
      </c>
      <c r="I139" s="72" t="s">
        <v>275</v>
      </c>
      <c r="J139" s="152" t="s">
        <v>67</v>
      </c>
      <c r="L139" s="28" t="str">
        <f>"Financial Price ("&amp;FLU_LU!$D$79&amp;")"</f>
        <v>Financial Price (GOZ)</v>
      </c>
      <c r="M139" s="28" t="str">
        <f>"Economic Price ("&amp;FLU_LU!$D$79&amp;")"</f>
        <v>Economic Price (GOZ)</v>
      </c>
      <c r="N139" s="28" t="str">
        <f>"Financial Price ("&amp;FLU_LU!$D$78&amp;")"</f>
        <v>Financial Price (USD)</v>
      </c>
      <c r="O139" s="28" t="str">
        <f>"Economic Price ("&amp;FLU_LU!$D$78&amp;")"</f>
        <v>Economic Price (USD)</v>
      </c>
      <c r="P139" s="152" t="s">
        <v>68</v>
      </c>
    </row>
    <row r="140" spans="3:16" s="23" customFormat="1" outlineLevel="1">
      <c r="D140" s="746">
        <v>14</v>
      </c>
      <c r="E140" s="747"/>
      <c r="F140" s="747"/>
      <c r="G140" s="748"/>
      <c r="H140" s="151" t="s">
        <v>659</v>
      </c>
      <c r="I140" s="159" t="str">
        <f ca="1">OFFSET(Cost_Ingredients!$M$117,$D140,0)</f>
        <v>1 book</v>
      </c>
      <c r="J140" s="64">
        <v>2</v>
      </c>
      <c r="L140" s="162">
        <f ca="1">OFFSET(Cost_Ingredients!$N$117,$D140,0)*$J140</f>
        <v>200</v>
      </c>
      <c r="M140" s="162">
        <f ca="1">OFFSET(Cost_Ingredients!$O$117,$D140,0)*$J140</f>
        <v>200</v>
      </c>
      <c r="N140" s="163">
        <f ca="1">L140/Cost_Ingredients!$J$21</f>
        <v>1.3333333333333333</v>
      </c>
      <c r="O140" s="163">
        <f ca="1">M140/Cost_Ingredients!$J$21</f>
        <v>1.3333333333333333</v>
      </c>
      <c r="P140" s="151"/>
    </row>
    <row r="141" spans="3:16" s="23" customFormat="1" outlineLevel="1">
      <c r="D141" s="746">
        <v>1</v>
      </c>
      <c r="E141" s="747"/>
      <c r="F141" s="747"/>
      <c r="G141" s="748"/>
      <c r="H141" s="151"/>
      <c r="I141" s="159">
        <f ca="1">OFFSET(Cost_Ingredients!$M$117,$D141,0)</f>
        <v>0</v>
      </c>
      <c r="J141" s="64"/>
      <c r="L141" s="162">
        <f ca="1">OFFSET(Cost_Ingredients!$N$117,$D141,0)*$J141</f>
        <v>0</v>
      </c>
      <c r="M141" s="162">
        <f ca="1">OFFSET(Cost_Ingredients!$O$117,$D141,0)*$J141</f>
        <v>0</v>
      </c>
      <c r="N141" s="163">
        <f ca="1">L141/Cost_Ingredients!$J$21</f>
        <v>0</v>
      </c>
      <c r="O141" s="163">
        <f ca="1">M141/Cost_Ingredients!$J$21</f>
        <v>0</v>
      </c>
      <c r="P141" s="151"/>
    </row>
    <row r="142" spans="3:16" s="23" customFormat="1" outlineLevel="1">
      <c r="D142" s="746">
        <v>1</v>
      </c>
      <c r="E142" s="747"/>
      <c r="F142" s="747"/>
      <c r="G142" s="748"/>
      <c r="H142" s="151"/>
      <c r="I142" s="159">
        <f ca="1">OFFSET(Cost_Ingredients!$M$117,$D142,0)</f>
        <v>0</v>
      </c>
      <c r="J142" s="64"/>
      <c r="L142" s="162">
        <f ca="1">OFFSET(Cost_Ingredients!$N$117,$D142,0)*$J142</f>
        <v>0</v>
      </c>
      <c r="M142" s="162">
        <f ca="1">OFFSET(Cost_Ingredients!$O$117,$D142,0)*$J142</f>
        <v>0</v>
      </c>
      <c r="N142" s="163">
        <f ca="1">L142/Cost_Ingredients!$J$21</f>
        <v>0</v>
      </c>
      <c r="O142" s="163">
        <f ca="1">M142/Cost_Ingredients!$J$21</f>
        <v>0</v>
      </c>
      <c r="P142" s="151"/>
    </row>
    <row r="143" spans="3:16" s="23" customFormat="1" outlineLevel="1">
      <c r="D143" s="746">
        <v>1</v>
      </c>
      <c r="E143" s="747"/>
      <c r="F143" s="747"/>
      <c r="G143" s="748"/>
      <c r="H143" s="151"/>
      <c r="I143" s="159">
        <f ca="1">OFFSET(Cost_Ingredients!$M$117,$D143,0)</f>
        <v>0</v>
      </c>
      <c r="J143" s="64"/>
      <c r="L143" s="162">
        <f ca="1">OFFSET(Cost_Ingredients!$N$117,$D143,0)*$J143</f>
        <v>0</v>
      </c>
      <c r="M143" s="162">
        <f ca="1">OFFSET(Cost_Ingredients!$O$117,$D143,0)*$J143</f>
        <v>0</v>
      </c>
      <c r="N143" s="163">
        <f ca="1">L143/Cost_Ingredients!$J$21</f>
        <v>0</v>
      </c>
      <c r="O143" s="163">
        <f ca="1">M143/Cost_Ingredients!$J$21</f>
        <v>0</v>
      </c>
      <c r="P143" s="151"/>
    </row>
    <row r="144" spans="3:16" s="23" customFormat="1" outlineLevel="1">
      <c r="D144" s="746">
        <v>1</v>
      </c>
      <c r="E144" s="747"/>
      <c r="F144" s="747"/>
      <c r="G144" s="748"/>
      <c r="H144" s="151"/>
      <c r="I144" s="159">
        <f ca="1">OFFSET(Cost_Ingredients!$M$117,$D144,0)</f>
        <v>0</v>
      </c>
      <c r="J144" s="64"/>
      <c r="L144" s="162">
        <f ca="1">OFFSET(Cost_Ingredients!$N$117,$D144,0)*$J144</f>
        <v>0</v>
      </c>
      <c r="M144" s="162">
        <f ca="1">OFFSET(Cost_Ingredients!$O$117,$D144,0)*$J144</f>
        <v>0</v>
      </c>
      <c r="N144" s="163">
        <f ca="1">L144/Cost_Ingredients!$J$21</f>
        <v>0</v>
      </c>
      <c r="O144" s="163">
        <f ca="1">M144/Cost_Ingredients!$J$21</f>
        <v>0</v>
      </c>
      <c r="P144" s="151"/>
    </row>
    <row r="145" spans="3:16" s="23" customFormat="1" outlineLevel="1">
      <c r="D145" s="746">
        <v>1</v>
      </c>
      <c r="E145" s="747"/>
      <c r="F145" s="747"/>
      <c r="G145" s="748"/>
      <c r="H145" s="151"/>
      <c r="I145" s="159">
        <f ca="1">OFFSET(Cost_Ingredients!$M$117,$D145,0)</f>
        <v>0</v>
      </c>
      <c r="J145" s="64">
        <v>0</v>
      </c>
      <c r="L145" s="162">
        <f ca="1">OFFSET(Cost_Ingredients!$N$117,$D145,0)*$J145</f>
        <v>0</v>
      </c>
      <c r="M145" s="162">
        <f ca="1">OFFSET(Cost_Ingredients!$O$117,$D145,0)*$J145</f>
        <v>0</v>
      </c>
      <c r="N145" s="163">
        <f ca="1">L145/Cost_Ingredients!$J$21</f>
        <v>0</v>
      </c>
      <c r="O145" s="163">
        <f ca="1">M145/Cost_Ingredients!$J$21</f>
        <v>0</v>
      </c>
      <c r="P145" s="151"/>
    </row>
    <row r="146" spans="3:16" s="23" customFormat="1" outlineLevel="1">
      <c r="D146" s="746">
        <v>1</v>
      </c>
      <c r="E146" s="747"/>
      <c r="F146" s="747"/>
      <c r="G146" s="748"/>
      <c r="H146" s="151"/>
      <c r="I146" s="159">
        <f ca="1">OFFSET(Cost_Ingredients!$M$117,$D146,0)</f>
        <v>0</v>
      </c>
      <c r="J146" s="64">
        <v>0</v>
      </c>
      <c r="L146" s="162">
        <f ca="1">OFFSET(Cost_Ingredients!$N$117,$D146,0)*$J146</f>
        <v>0</v>
      </c>
      <c r="M146" s="162">
        <f ca="1">OFFSET(Cost_Ingredients!$O$117,$D146,0)*$J146</f>
        <v>0</v>
      </c>
      <c r="N146" s="163">
        <f ca="1">L146/Cost_Ingredients!$J$21</f>
        <v>0</v>
      </c>
      <c r="O146" s="163">
        <f ca="1">M146/Cost_Ingredients!$J$21</f>
        <v>0</v>
      </c>
      <c r="P146" s="151"/>
    </row>
    <row r="147" spans="3:16" s="23" customFormat="1" outlineLevel="1">
      <c r="D147" s="746">
        <v>1</v>
      </c>
      <c r="E147" s="747"/>
      <c r="F147" s="747"/>
      <c r="G147" s="748"/>
      <c r="H147" s="151"/>
      <c r="I147" s="159">
        <f ca="1">OFFSET(Cost_Ingredients!$M$117,$D147,0)</f>
        <v>0</v>
      </c>
      <c r="J147" s="64">
        <v>0</v>
      </c>
      <c r="L147" s="162">
        <f ca="1">OFFSET(Cost_Ingredients!$N$117,$D147,0)*$J147</f>
        <v>0</v>
      </c>
      <c r="M147" s="162">
        <f ca="1">OFFSET(Cost_Ingredients!$O$117,$D147,0)*$J147</f>
        <v>0</v>
      </c>
      <c r="N147" s="163">
        <f ca="1">L147/Cost_Ingredients!$J$21</f>
        <v>0</v>
      </c>
      <c r="O147" s="163">
        <f ca="1">M147/Cost_Ingredients!$J$21</f>
        <v>0</v>
      </c>
      <c r="P147" s="151"/>
    </row>
    <row r="148" spans="3:16" s="23" customFormat="1" outlineLevel="1">
      <c r="D148" s="746">
        <v>1</v>
      </c>
      <c r="E148" s="747"/>
      <c r="F148" s="747"/>
      <c r="G148" s="748"/>
      <c r="H148" s="151"/>
      <c r="I148" s="159">
        <f ca="1">OFFSET(Cost_Ingredients!$M$117,$D148,0)</f>
        <v>0</v>
      </c>
      <c r="J148" s="64">
        <v>0</v>
      </c>
      <c r="L148" s="162">
        <f ca="1">OFFSET(Cost_Ingredients!$N$117,$D148,0)*$J148</f>
        <v>0</v>
      </c>
      <c r="M148" s="162">
        <f ca="1">OFFSET(Cost_Ingredients!$O$117,$D148,0)*$J148</f>
        <v>0</v>
      </c>
      <c r="N148" s="163">
        <f ca="1">L148/Cost_Ingredients!$J$21</f>
        <v>0</v>
      </c>
      <c r="O148" s="163">
        <f ca="1">M148/Cost_Ingredients!$J$21</f>
        <v>0</v>
      </c>
      <c r="P148" s="151"/>
    </row>
    <row r="149" spans="3:16" s="23" customFormat="1" outlineLevel="1">
      <c r="D149" s="746">
        <v>1</v>
      </c>
      <c r="E149" s="747"/>
      <c r="F149" s="747"/>
      <c r="G149" s="748"/>
      <c r="H149" s="151"/>
      <c r="I149" s="159">
        <f ca="1">OFFSET(Cost_Ingredients!$M$117,$D149,0)</f>
        <v>0</v>
      </c>
      <c r="J149" s="64">
        <v>0</v>
      </c>
      <c r="L149" s="162">
        <f ca="1">OFFSET(Cost_Ingredients!$N$117,$D149,0)*$J149</f>
        <v>0</v>
      </c>
      <c r="M149" s="162">
        <f ca="1">OFFSET(Cost_Ingredients!$O$117,$D149,0)*$J149</f>
        <v>0</v>
      </c>
      <c r="N149" s="163">
        <f ca="1">L149/Cost_Ingredients!$J$21</f>
        <v>0</v>
      </c>
      <c r="O149" s="163">
        <f ca="1">M149/Cost_Ingredients!$J$21</f>
        <v>0</v>
      </c>
      <c r="P149" s="151"/>
    </row>
    <row r="150" spans="3:16" s="23" customFormat="1" outlineLevel="1">
      <c r="D150" s="746">
        <v>1</v>
      </c>
      <c r="E150" s="747"/>
      <c r="F150" s="747"/>
      <c r="G150" s="748"/>
      <c r="H150" s="151"/>
      <c r="I150" s="159">
        <f ca="1">OFFSET(Cost_Ingredients!$M$117,$D150,0)</f>
        <v>0</v>
      </c>
      <c r="J150" s="64">
        <v>0</v>
      </c>
      <c r="L150" s="162">
        <f ca="1">OFFSET(Cost_Ingredients!$N$117,$D150,0)*$J150</f>
        <v>0</v>
      </c>
      <c r="M150" s="162">
        <f ca="1">OFFSET(Cost_Ingredients!$O$117,$D150,0)*$J150</f>
        <v>0</v>
      </c>
      <c r="N150" s="163">
        <f ca="1">L150/Cost_Ingredients!$J$21</f>
        <v>0</v>
      </c>
      <c r="O150" s="163">
        <f ca="1">M150/Cost_Ingredients!$J$21</f>
        <v>0</v>
      </c>
      <c r="P150" s="151"/>
    </row>
    <row r="151" spans="3:16" s="23" customFormat="1" outlineLevel="1">
      <c r="D151" s="746">
        <v>1</v>
      </c>
      <c r="E151" s="747"/>
      <c r="F151" s="747"/>
      <c r="G151" s="748"/>
      <c r="H151" s="151"/>
      <c r="I151" s="159">
        <f ca="1">OFFSET(Cost_Ingredients!$M$117,$D151,0)</f>
        <v>0</v>
      </c>
      <c r="J151" s="64">
        <v>0</v>
      </c>
      <c r="L151" s="162">
        <f ca="1">OFFSET(Cost_Ingredients!$N$117,$D151,0)*$J151</f>
        <v>0</v>
      </c>
      <c r="M151" s="162">
        <f ca="1">OFFSET(Cost_Ingredients!$O$117,$D151,0)*$J151</f>
        <v>0</v>
      </c>
      <c r="N151" s="163">
        <f ca="1">L151/Cost_Ingredients!$J$21</f>
        <v>0</v>
      </c>
      <c r="O151" s="163">
        <f ca="1">M151/Cost_Ingredients!$J$21</f>
        <v>0</v>
      </c>
      <c r="P151" s="151"/>
    </row>
    <row r="152" spans="3:16" s="23" customFormat="1" outlineLevel="1">
      <c r="D152" s="746">
        <v>1</v>
      </c>
      <c r="E152" s="747"/>
      <c r="F152" s="747"/>
      <c r="G152" s="748"/>
      <c r="H152" s="151"/>
      <c r="I152" s="159">
        <f ca="1">OFFSET(Cost_Ingredients!$M$117,$D152,0)</f>
        <v>0</v>
      </c>
      <c r="J152" s="64">
        <v>0</v>
      </c>
      <c r="L152" s="162">
        <f ca="1">OFFSET(Cost_Ingredients!$N$117,$D152,0)*$J152</f>
        <v>0</v>
      </c>
      <c r="M152" s="162">
        <f ca="1">OFFSET(Cost_Ingredients!$O$117,$D152,0)*$J152</f>
        <v>0</v>
      </c>
      <c r="N152" s="163">
        <f ca="1">L152/Cost_Ingredients!$J$21</f>
        <v>0</v>
      </c>
      <c r="O152" s="163">
        <f ca="1">M152/Cost_Ingredients!$J$21</f>
        <v>0</v>
      </c>
      <c r="P152" s="151"/>
    </row>
    <row r="153" spans="3:16" s="23" customFormat="1" outlineLevel="1">
      <c r="D153" s="746">
        <v>1</v>
      </c>
      <c r="E153" s="747"/>
      <c r="F153" s="747"/>
      <c r="G153" s="748"/>
      <c r="H153" s="151"/>
      <c r="I153" s="159">
        <f ca="1">OFFSET(Cost_Ingredients!$M$117,$D153,0)</f>
        <v>0</v>
      </c>
      <c r="J153" s="64">
        <v>0</v>
      </c>
      <c r="L153" s="162">
        <f ca="1">OFFSET(Cost_Ingredients!$N$117,$D153,0)*$J153</f>
        <v>0</v>
      </c>
      <c r="M153" s="162">
        <f ca="1">OFFSET(Cost_Ingredients!$O$117,$D153,0)*$J153</f>
        <v>0</v>
      </c>
      <c r="N153" s="163">
        <f ca="1">L153/Cost_Ingredients!$J$21</f>
        <v>0</v>
      </c>
      <c r="O153" s="163">
        <f ca="1">M153/Cost_Ingredients!$J$21</f>
        <v>0</v>
      </c>
      <c r="P153" s="151"/>
    </row>
    <row r="154" spans="3:16" s="23" customFormat="1" outlineLevel="1">
      <c r="D154" s="746">
        <v>1</v>
      </c>
      <c r="E154" s="747"/>
      <c r="F154" s="747"/>
      <c r="G154" s="748"/>
      <c r="H154" s="172"/>
      <c r="I154" s="159">
        <f ca="1">OFFSET(Cost_Ingredients!$M$117,$D154,0)</f>
        <v>0</v>
      </c>
      <c r="J154" s="173">
        <v>0</v>
      </c>
      <c r="L154" s="162">
        <f ca="1">OFFSET(Cost_Ingredients!$N$117,$D154,0)*$J154</f>
        <v>0</v>
      </c>
      <c r="M154" s="162">
        <f ca="1">OFFSET(Cost_Ingredients!$O$117,$D154,0)*$J154</f>
        <v>0</v>
      </c>
      <c r="N154" s="163">
        <f ca="1">L154/Cost_Ingredients!$J$21</f>
        <v>0</v>
      </c>
      <c r="O154" s="163">
        <f ca="1">M154/Cost_Ingredients!$J$21</f>
        <v>0</v>
      </c>
      <c r="P154" s="172"/>
    </row>
    <row r="155" spans="3:16" s="23" customFormat="1">
      <c r="D155" s="754" t="str">
        <f>"Subtotal - "&amp;C138</f>
        <v>Subtotal - Supplies &amp; Materials</v>
      </c>
      <c r="E155" s="755"/>
      <c r="F155" s="755"/>
      <c r="G155" s="755"/>
      <c r="H155" s="156"/>
      <c r="I155" s="156"/>
      <c r="J155" s="69"/>
      <c r="L155" s="255">
        <f ca="1">SUM(L140:L154)</f>
        <v>200</v>
      </c>
      <c r="M155" s="255">
        <f ca="1">SUM(M140:M154)</f>
        <v>200</v>
      </c>
      <c r="N155" s="258">
        <f ca="1">SUM(N140:N154)</f>
        <v>1.3333333333333333</v>
      </c>
      <c r="O155" s="258">
        <f ca="1">SUM(O140:O154)</f>
        <v>1.3333333333333333</v>
      </c>
      <c r="P155" s="156"/>
    </row>
    <row r="156" spans="3:16" s="134" customFormat="1"/>
    <row r="157" spans="3:16" s="134" customFormat="1">
      <c r="C157" s="160" t="str">
        <f>FLU_LU!$D$281</f>
        <v>Other Direct Costs (Recurrent)</v>
      </c>
    </row>
    <row r="158" spans="3:16" s="134" customFormat="1" ht="28.8" outlineLevel="1">
      <c r="D158" s="733" t="s">
        <v>100</v>
      </c>
      <c r="E158" s="733"/>
      <c r="F158" s="733"/>
      <c r="G158" s="733"/>
      <c r="H158" s="142" t="s">
        <v>274</v>
      </c>
      <c r="I158" s="72" t="s">
        <v>275</v>
      </c>
      <c r="J158" s="152" t="s">
        <v>67</v>
      </c>
      <c r="L158" s="28" t="str">
        <f>"Financial Price ("&amp;FLU_LU!$D$79&amp;")"</f>
        <v>Financial Price (GOZ)</v>
      </c>
      <c r="M158" s="28" t="str">
        <f>"Economic Price ("&amp;FLU_LU!$D$79&amp;")"</f>
        <v>Economic Price (GOZ)</v>
      </c>
      <c r="N158" s="28" t="str">
        <f>"Financial Price ("&amp;FLU_LU!$D$78&amp;")"</f>
        <v>Financial Price (USD)</v>
      </c>
      <c r="O158" s="28" t="str">
        <f>"Economic Price ("&amp;FLU_LU!$D$78&amp;")"</f>
        <v>Economic Price (USD)</v>
      </c>
      <c r="P158" s="152" t="s">
        <v>68</v>
      </c>
    </row>
    <row r="159" spans="3:16" s="23" customFormat="1" outlineLevel="1">
      <c r="D159" s="746">
        <v>2</v>
      </c>
      <c r="E159" s="747"/>
      <c r="F159" s="747"/>
      <c r="G159" s="748"/>
      <c r="H159" s="151" t="s">
        <v>654</v>
      </c>
      <c r="I159" s="159" t="str">
        <f ca="1">OFFSET(Cost_Ingredients!$M$146,$D159,0)</f>
        <v>litre</v>
      </c>
      <c r="J159" s="64">
        <v>520</v>
      </c>
      <c r="L159" s="162">
        <f ca="1">OFFSET(Cost_Ingredients!$N$146,$D159,0)*$J159</f>
        <v>88400</v>
      </c>
      <c r="M159" s="162">
        <f ca="1">OFFSET(Cost_Ingredients!$O$146,$D159,0)*$J159</f>
        <v>88400</v>
      </c>
      <c r="N159" s="163">
        <f ca="1">OFFSET(Cost_Ingredients!$P$146,$D159,0)*$J159</f>
        <v>589.33333333333337</v>
      </c>
      <c r="O159" s="163">
        <f ca="1">OFFSET(Cost_Ingredients!$Q$146,$D159,0)*$J159</f>
        <v>589.33333333333337</v>
      </c>
      <c r="P159" s="151"/>
    </row>
    <row r="160" spans="3:16" s="23" customFormat="1" outlineLevel="1">
      <c r="D160" s="746">
        <v>1</v>
      </c>
      <c r="E160" s="747"/>
      <c r="F160" s="747"/>
      <c r="G160" s="748"/>
      <c r="H160" s="151"/>
      <c r="I160" s="159">
        <f ca="1">OFFSET(Cost_Ingredients!$M$146,$D160,0)</f>
        <v>0</v>
      </c>
      <c r="J160" s="64">
        <v>0</v>
      </c>
      <c r="L160" s="162">
        <f ca="1">OFFSET(Cost_Ingredients!$N$146,$D160,0)*$J160</f>
        <v>0</v>
      </c>
      <c r="M160" s="162">
        <f ca="1">OFFSET(Cost_Ingredients!$O$146,$D160,0)*$J160</f>
        <v>0</v>
      </c>
      <c r="N160" s="163">
        <f ca="1">OFFSET(Cost_Ingredients!$P$146,$D160,0)*$J160</f>
        <v>0</v>
      </c>
      <c r="O160" s="163">
        <f ca="1">OFFSET(Cost_Ingredients!$Q$146,$D160,0)*$J160</f>
        <v>0</v>
      </c>
      <c r="P160" s="151"/>
    </row>
    <row r="161" spans="3:16" s="23" customFormat="1" outlineLevel="1">
      <c r="D161" s="746">
        <v>1</v>
      </c>
      <c r="E161" s="747"/>
      <c r="F161" s="747"/>
      <c r="G161" s="748"/>
      <c r="H161" s="151"/>
      <c r="I161" s="159">
        <f ca="1">OFFSET(Cost_Ingredients!$M$146,$D161,0)</f>
        <v>0</v>
      </c>
      <c r="J161" s="64">
        <v>0</v>
      </c>
      <c r="L161" s="162">
        <f ca="1">OFFSET(Cost_Ingredients!$N$146,$D161,0)*$J161</f>
        <v>0</v>
      </c>
      <c r="M161" s="162">
        <f ca="1">OFFSET(Cost_Ingredients!$O$146,$D161,0)*$J161</f>
        <v>0</v>
      </c>
      <c r="N161" s="163">
        <f ca="1">OFFSET(Cost_Ingredients!$P$146,$D161,0)*$J161</f>
        <v>0</v>
      </c>
      <c r="O161" s="163">
        <f ca="1">OFFSET(Cost_Ingredients!$Q$146,$D161,0)*$J161</f>
        <v>0</v>
      </c>
      <c r="P161" s="151"/>
    </row>
    <row r="162" spans="3:16" s="23" customFormat="1" outlineLevel="1">
      <c r="D162" s="746">
        <v>1</v>
      </c>
      <c r="E162" s="747"/>
      <c r="F162" s="747"/>
      <c r="G162" s="748"/>
      <c r="H162" s="151"/>
      <c r="I162" s="159">
        <f ca="1">OFFSET(Cost_Ingredients!$M$146,$D162,0)</f>
        <v>0</v>
      </c>
      <c r="J162" s="64">
        <v>0</v>
      </c>
      <c r="L162" s="162">
        <f ca="1">OFFSET(Cost_Ingredients!$N$146,$D162,0)*$J162</f>
        <v>0</v>
      </c>
      <c r="M162" s="162">
        <f ca="1">OFFSET(Cost_Ingredients!$O$146,$D162,0)*$J162</f>
        <v>0</v>
      </c>
      <c r="N162" s="163">
        <f ca="1">OFFSET(Cost_Ingredients!$P$146,$D162,0)*$J162</f>
        <v>0</v>
      </c>
      <c r="O162" s="163">
        <f ca="1">OFFSET(Cost_Ingredients!$Q$146,$D162,0)*$J162</f>
        <v>0</v>
      </c>
      <c r="P162" s="151"/>
    </row>
    <row r="163" spans="3:16" s="23" customFormat="1" outlineLevel="1">
      <c r="D163" s="746">
        <v>1</v>
      </c>
      <c r="E163" s="747"/>
      <c r="F163" s="747"/>
      <c r="G163" s="748"/>
      <c r="H163" s="151"/>
      <c r="I163" s="159">
        <f ca="1">OFFSET(Cost_Ingredients!$M$146,$D163,0)</f>
        <v>0</v>
      </c>
      <c r="J163" s="64">
        <v>0</v>
      </c>
      <c r="L163" s="162">
        <f ca="1">OFFSET(Cost_Ingredients!$N$146,$D163,0)*$J163</f>
        <v>0</v>
      </c>
      <c r="M163" s="162">
        <f ca="1">OFFSET(Cost_Ingredients!$O$146,$D163,0)*$J163</f>
        <v>0</v>
      </c>
      <c r="N163" s="163">
        <f ca="1">OFFSET(Cost_Ingredients!$P$146,$D163,0)*$J163</f>
        <v>0</v>
      </c>
      <c r="O163" s="163">
        <f ca="1">OFFSET(Cost_Ingredients!$Q$146,$D163,0)*$J163</f>
        <v>0</v>
      </c>
      <c r="P163" s="151"/>
    </row>
    <row r="164" spans="3:16" s="23" customFormat="1" outlineLevel="1">
      <c r="D164" s="746">
        <v>1</v>
      </c>
      <c r="E164" s="747"/>
      <c r="F164" s="747"/>
      <c r="G164" s="748"/>
      <c r="H164" s="151"/>
      <c r="I164" s="159">
        <f ca="1">OFFSET(Cost_Ingredients!$M$146,$D164,0)</f>
        <v>0</v>
      </c>
      <c r="J164" s="64">
        <v>0</v>
      </c>
      <c r="L164" s="162">
        <f ca="1">OFFSET(Cost_Ingredients!$N$146,$D164,0)*$J164</f>
        <v>0</v>
      </c>
      <c r="M164" s="162">
        <f ca="1">OFFSET(Cost_Ingredients!$O$146,$D164,0)*$J164</f>
        <v>0</v>
      </c>
      <c r="N164" s="163">
        <f ca="1">OFFSET(Cost_Ingredients!$P$146,$D164,0)*$J164</f>
        <v>0</v>
      </c>
      <c r="O164" s="163">
        <f ca="1">OFFSET(Cost_Ingredients!$Q$146,$D164,0)*$J164</f>
        <v>0</v>
      </c>
      <c r="P164" s="151"/>
    </row>
    <row r="165" spans="3:16" s="23" customFormat="1" outlineLevel="1">
      <c r="D165" s="746">
        <v>1</v>
      </c>
      <c r="E165" s="747"/>
      <c r="F165" s="747"/>
      <c r="G165" s="748"/>
      <c r="H165" s="151"/>
      <c r="I165" s="159">
        <f ca="1">OFFSET(Cost_Ingredients!$M$146,$D165,0)</f>
        <v>0</v>
      </c>
      <c r="J165" s="64">
        <v>0</v>
      </c>
      <c r="L165" s="162">
        <f ca="1">OFFSET(Cost_Ingredients!$N$146,$D165,0)*$J165</f>
        <v>0</v>
      </c>
      <c r="M165" s="162">
        <f ca="1">OFFSET(Cost_Ingredients!$O$146,$D165,0)*$J165</f>
        <v>0</v>
      </c>
      <c r="N165" s="163">
        <f ca="1">OFFSET(Cost_Ingredients!$P$146,$D165,0)*$J165</f>
        <v>0</v>
      </c>
      <c r="O165" s="163">
        <f ca="1">OFFSET(Cost_Ingredients!$Q$146,$D165,0)*$J165</f>
        <v>0</v>
      </c>
      <c r="P165" s="151"/>
    </row>
    <row r="166" spans="3:16" s="23" customFormat="1" outlineLevel="1">
      <c r="D166" s="746">
        <v>1</v>
      </c>
      <c r="E166" s="747"/>
      <c r="F166" s="747"/>
      <c r="G166" s="748"/>
      <c r="H166" s="151"/>
      <c r="I166" s="159">
        <f ca="1">OFFSET(Cost_Ingredients!$M$146,$D166,0)</f>
        <v>0</v>
      </c>
      <c r="J166" s="64">
        <v>0</v>
      </c>
      <c r="L166" s="162">
        <f ca="1">OFFSET(Cost_Ingredients!$N$146,$D166,0)*$J166</f>
        <v>0</v>
      </c>
      <c r="M166" s="162">
        <f ca="1">OFFSET(Cost_Ingredients!$O$146,$D166,0)*$J166</f>
        <v>0</v>
      </c>
      <c r="N166" s="163">
        <f ca="1">OFFSET(Cost_Ingredients!$P$146,$D166,0)*$J166</f>
        <v>0</v>
      </c>
      <c r="O166" s="163">
        <f ca="1">OFFSET(Cost_Ingredients!$Q$146,$D166,0)*$J166</f>
        <v>0</v>
      </c>
      <c r="P166" s="151"/>
    </row>
    <row r="167" spans="3:16" s="23" customFormat="1" outlineLevel="1">
      <c r="D167" s="746">
        <v>1</v>
      </c>
      <c r="E167" s="747"/>
      <c r="F167" s="747"/>
      <c r="G167" s="748"/>
      <c r="H167" s="151"/>
      <c r="I167" s="159">
        <f ca="1">OFFSET(Cost_Ingredients!$M$146,$D167,0)</f>
        <v>0</v>
      </c>
      <c r="J167" s="64">
        <v>0</v>
      </c>
      <c r="L167" s="162">
        <f ca="1">OFFSET(Cost_Ingredients!$N$146,$D167,0)*$J167</f>
        <v>0</v>
      </c>
      <c r="M167" s="162">
        <f ca="1">OFFSET(Cost_Ingredients!$O$146,$D167,0)*$J167</f>
        <v>0</v>
      </c>
      <c r="N167" s="163">
        <f ca="1">OFFSET(Cost_Ingredients!$P$146,$D167,0)*$J167</f>
        <v>0</v>
      </c>
      <c r="O167" s="163">
        <f ca="1">OFFSET(Cost_Ingredients!$Q$146,$D167,0)*$J167</f>
        <v>0</v>
      </c>
      <c r="P167" s="151"/>
    </row>
    <row r="168" spans="3:16" s="23" customFormat="1" outlineLevel="1">
      <c r="D168" s="746">
        <v>1</v>
      </c>
      <c r="E168" s="747"/>
      <c r="F168" s="747"/>
      <c r="G168" s="748"/>
      <c r="H168" s="151"/>
      <c r="I168" s="159">
        <f ca="1">OFFSET(Cost_Ingredients!$M$146,$D168,0)</f>
        <v>0</v>
      </c>
      <c r="J168" s="64">
        <v>0</v>
      </c>
      <c r="L168" s="162">
        <f ca="1">OFFSET(Cost_Ingredients!$N$146,$D168,0)*$J168</f>
        <v>0</v>
      </c>
      <c r="M168" s="162">
        <f ca="1">OFFSET(Cost_Ingredients!$O$146,$D168,0)*$J168</f>
        <v>0</v>
      </c>
      <c r="N168" s="163">
        <f ca="1">OFFSET(Cost_Ingredients!$P$146,$D168,0)*$J168</f>
        <v>0</v>
      </c>
      <c r="O168" s="163">
        <f ca="1">OFFSET(Cost_Ingredients!$Q$146,$D168,0)*$J168</f>
        <v>0</v>
      </c>
      <c r="P168" s="151"/>
    </row>
    <row r="169" spans="3:16" s="23" customFormat="1" outlineLevel="1">
      <c r="D169" s="746">
        <v>1</v>
      </c>
      <c r="E169" s="747"/>
      <c r="F169" s="747"/>
      <c r="G169" s="748"/>
      <c r="H169" s="151"/>
      <c r="I169" s="159">
        <f ca="1">OFFSET(Cost_Ingredients!$M$146,$D169,0)</f>
        <v>0</v>
      </c>
      <c r="J169" s="64">
        <v>0</v>
      </c>
      <c r="L169" s="162">
        <f ca="1">OFFSET(Cost_Ingredients!$N$146,$D169,0)*$J169</f>
        <v>0</v>
      </c>
      <c r="M169" s="162">
        <f ca="1">OFFSET(Cost_Ingredients!$O$146,$D169,0)*$J169</f>
        <v>0</v>
      </c>
      <c r="N169" s="163">
        <f ca="1">OFFSET(Cost_Ingredients!$P$146,$D169,0)*$J169</f>
        <v>0</v>
      </c>
      <c r="O169" s="163">
        <f ca="1">OFFSET(Cost_Ingredients!$Q$146,$D169,0)*$J169</f>
        <v>0</v>
      </c>
      <c r="P169" s="151"/>
    </row>
    <row r="170" spans="3:16" s="23" customFormat="1" outlineLevel="1">
      <c r="D170" s="746">
        <v>1</v>
      </c>
      <c r="E170" s="747"/>
      <c r="F170" s="747"/>
      <c r="G170" s="748"/>
      <c r="H170" s="151"/>
      <c r="I170" s="159">
        <f ca="1">OFFSET(Cost_Ingredients!$M$146,$D170,0)</f>
        <v>0</v>
      </c>
      <c r="J170" s="64">
        <v>0</v>
      </c>
      <c r="L170" s="162">
        <f ca="1">OFFSET(Cost_Ingredients!$N$146,$D170,0)*$J170</f>
        <v>0</v>
      </c>
      <c r="M170" s="162">
        <f ca="1">OFFSET(Cost_Ingredients!$O$146,$D170,0)*$J170</f>
        <v>0</v>
      </c>
      <c r="N170" s="163">
        <f ca="1">OFFSET(Cost_Ingredients!$P$146,$D170,0)*$J170</f>
        <v>0</v>
      </c>
      <c r="O170" s="163">
        <f ca="1">OFFSET(Cost_Ingredients!$Q$146,$D170,0)*$J170</f>
        <v>0</v>
      </c>
      <c r="P170" s="151"/>
    </row>
    <row r="171" spans="3:16" s="23" customFormat="1" outlineLevel="1">
      <c r="D171" s="746">
        <v>1</v>
      </c>
      <c r="E171" s="747"/>
      <c r="F171" s="747"/>
      <c r="G171" s="748"/>
      <c r="H171" s="151"/>
      <c r="I171" s="159">
        <f ca="1">OFFSET(Cost_Ingredients!$M$146,$D171,0)</f>
        <v>0</v>
      </c>
      <c r="J171" s="64">
        <v>0</v>
      </c>
      <c r="L171" s="162">
        <f ca="1">OFFSET(Cost_Ingredients!$N$146,$D171,0)*$J171</f>
        <v>0</v>
      </c>
      <c r="M171" s="162">
        <f ca="1">OFFSET(Cost_Ingredients!$O$146,$D171,0)*$J171</f>
        <v>0</v>
      </c>
      <c r="N171" s="163">
        <f ca="1">OFFSET(Cost_Ingredients!$P$146,$D171,0)*$J171</f>
        <v>0</v>
      </c>
      <c r="O171" s="163">
        <f ca="1">OFFSET(Cost_Ingredients!$Q$146,$D171,0)*$J171</f>
        <v>0</v>
      </c>
      <c r="P171" s="151"/>
    </row>
    <row r="172" spans="3:16" s="23" customFormat="1" outlineLevel="1">
      <c r="D172" s="746">
        <v>1</v>
      </c>
      <c r="E172" s="747"/>
      <c r="F172" s="747"/>
      <c r="G172" s="748"/>
      <c r="H172" s="151"/>
      <c r="I172" s="159">
        <f ca="1">OFFSET(Cost_Ingredients!$M$146,$D172,0)</f>
        <v>0</v>
      </c>
      <c r="J172" s="64">
        <v>0</v>
      </c>
      <c r="L172" s="162">
        <f ca="1">OFFSET(Cost_Ingredients!$N$146,$D172,0)*$J172</f>
        <v>0</v>
      </c>
      <c r="M172" s="162">
        <f ca="1">OFFSET(Cost_Ingredients!$O$146,$D172,0)*$J172</f>
        <v>0</v>
      </c>
      <c r="N172" s="163">
        <f ca="1">OFFSET(Cost_Ingredients!$P$146,$D172,0)*$J172</f>
        <v>0</v>
      </c>
      <c r="O172" s="163">
        <f ca="1">OFFSET(Cost_Ingredients!$Q$146,$D172,0)*$J172</f>
        <v>0</v>
      </c>
      <c r="P172" s="151"/>
    </row>
    <row r="173" spans="3:16" s="23" customFormat="1" outlineLevel="1">
      <c r="D173" s="746">
        <v>1</v>
      </c>
      <c r="E173" s="747"/>
      <c r="F173" s="747"/>
      <c r="G173" s="748"/>
      <c r="H173" s="172"/>
      <c r="I173" s="159">
        <f ca="1">OFFSET(Cost_Ingredients!$M$146,$D173,0)</f>
        <v>0</v>
      </c>
      <c r="J173" s="173">
        <v>0</v>
      </c>
      <c r="L173" s="162">
        <f ca="1">OFFSET(Cost_Ingredients!$N$146,$D173,0)*$J173</f>
        <v>0</v>
      </c>
      <c r="M173" s="162">
        <f ca="1">OFFSET(Cost_Ingredients!$O$146,$D173,0)*$J173</f>
        <v>0</v>
      </c>
      <c r="N173" s="163">
        <f ca="1">OFFSET(Cost_Ingredients!$P$146,$D173,0)*$J173</f>
        <v>0</v>
      </c>
      <c r="O173" s="163">
        <f ca="1">OFFSET(Cost_Ingredients!$Q$146,$D173,0)*$J173</f>
        <v>0</v>
      </c>
      <c r="P173" s="172"/>
    </row>
    <row r="174" spans="3:16" s="23" customFormat="1">
      <c r="D174" s="754" t="str">
        <f>"Subtotal - "&amp;C157</f>
        <v>Subtotal - Other Direct Costs (Recurrent)</v>
      </c>
      <c r="E174" s="755"/>
      <c r="F174" s="755"/>
      <c r="G174" s="755"/>
      <c r="H174" s="156"/>
      <c r="I174" s="156"/>
      <c r="J174" s="69"/>
      <c r="L174" s="255">
        <f ca="1">SUM(L159:L173)</f>
        <v>88400</v>
      </c>
      <c r="M174" s="255">
        <f ca="1">SUM(M159:M173)</f>
        <v>88400</v>
      </c>
      <c r="N174" s="258">
        <f ca="1">SUM(N159:N173)</f>
        <v>589.33333333333337</v>
      </c>
      <c r="O174" s="258">
        <f ca="1">SUM(O159:O173)</f>
        <v>589.33333333333337</v>
      </c>
      <c r="P174" s="156"/>
    </row>
    <row r="175" spans="3:16" s="134" customFormat="1"/>
    <row r="176" spans="3:16" s="134" customFormat="1" ht="15" thickBot="1">
      <c r="C176" s="70" t="str">
        <f>B94&amp;" -Cost per Activity"</f>
        <v>Detailed Cost Estimate: Distribute Vacc Materials from IPH to 12 Directorates -Cost per Activity</v>
      </c>
      <c r="L176" s="191">
        <f ca="1">SUM(L117,L136,L155,L174)</f>
        <v>275600</v>
      </c>
      <c r="M176" s="191">
        <f ca="1">SUM(M117,M136,M155,M174)</f>
        <v>418099.92272727273</v>
      </c>
      <c r="N176" s="227">
        <f ca="1">SUM(N117,N136,N155,N174)</f>
        <v>1837.3333333333335</v>
      </c>
      <c r="O176" s="227">
        <f ca="1">SUM(O117,O136,O155,O174)</f>
        <v>2787.3328181818188</v>
      </c>
    </row>
    <row r="177" spans="2:16" s="134" customFormat="1" ht="15" thickTop="1"/>
    <row r="178" spans="2:16" s="134" customFormat="1"/>
    <row r="179" spans="2:16" s="134" customFormat="1" ht="17.399999999999999">
      <c r="B179" s="81" t="str">
        <f>"Detailed Cost Estimate: "&amp;FLU_LU!$D$328</f>
        <v>Detailed Cost Estimate: Distribute Vacc Materials from 12 Directorates to Health Facilities</v>
      </c>
    </row>
    <row r="180" spans="2:16" s="134" customFormat="1"/>
    <row r="181" spans="2:16" s="134" customFormat="1">
      <c r="F181" s="152" t="s">
        <v>597</v>
      </c>
      <c r="H181" s="758" t="str">
        <f>DISTRIB!G$18</f>
        <v>Health Facilities have picked up Vacc Materials</v>
      </c>
      <c r="I181" s="758"/>
      <c r="J181" s="758"/>
      <c r="K181" s="758"/>
      <c r="L181" s="758"/>
      <c r="M181" s="758"/>
      <c r="N181" s="758"/>
      <c r="O181" s="758"/>
      <c r="P181" s="758"/>
    </row>
    <row r="182" spans="2:16" s="134" customFormat="1"/>
    <row r="183" spans="2:16" s="134" customFormat="1">
      <c r="E183" s="152" t="s">
        <v>273</v>
      </c>
    </row>
    <row r="184" spans="2:16" s="134" customFormat="1"/>
    <row r="185" spans="2:16" s="134" customFormat="1">
      <c r="C185" s="160" t="str">
        <f>FLU_LU!$D$278</f>
        <v xml:space="preserve">Personnel </v>
      </c>
    </row>
    <row r="186" spans="2:16" s="134" customFormat="1" ht="43.2" outlineLevel="1">
      <c r="D186" s="733" t="s">
        <v>100</v>
      </c>
      <c r="E186" s="733"/>
      <c r="F186" s="733"/>
      <c r="G186" s="733"/>
      <c r="H186" s="142" t="s">
        <v>274</v>
      </c>
      <c r="I186" s="72" t="s">
        <v>474</v>
      </c>
      <c r="J186" s="152" t="s">
        <v>67</v>
      </c>
      <c r="K186" s="72" t="s">
        <v>475</v>
      </c>
      <c r="L186" s="28" t="str">
        <f>"Financial Price ("&amp;FLU_LU!$D$79&amp;")"</f>
        <v>Financial Price (GOZ)</v>
      </c>
      <c r="M186" s="28" t="str">
        <f>"Economic Price ("&amp;FLU_LU!$D$79&amp;")"</f>
        <v>Economic Price (GOZ)</v>
      </c>
      <c r="N186" s="28" t="str">
        <f>"Financial Price ("&amp;FLU_LU!$D$78&amp;")"</f>
        <v>Financial Price (USD)</v>
      </c>
      <c r="O186" s="28" t="str">
        <f>"Economic Price ("&amp;FLU_LU!$D$78&amp;")"</f>
        <v>Economic Price (USD)</v>
      </c>
      <c r="P186" s="152" t="s">
        <v>68</v>
      </c>
    </row>
    <row r="187" spans="2:16" s="23" customFormat="1" ht="15" customHeight="1" outlineLevel="1">
      <c r="D187" s="756">
        <v>19</v>
      </c>
      <c r="E187" s="756"/>
      <c r="F187" s="756"/>
      <c r="G187" s="757"/>
      <c r="H187" s="321" t="s">
        <v>662</v>
      </c>
      <c r="I187" s="323">
        <v>2</v>
      </c>
      <c r="J187" s="324">
        <v>3600</v>
      </c>
      <c r="K187" s="326">
        <f t="shared" ref="K187:K201" si="2">IF(I187=1,J187/FLU_DAYS_PER_MONTH,IF(I187=2,J187/FLU_HOURS_PER_MONTH,J187/FLU_MINUTES_PER_MONTH))</f>
        <v>20.454545454545453</v>
      </c>
      <c r="L187" s="327">
        <f ca="1">OFFSET(Cost_Ingredients!$N$73,D187,0)*$K187</f>
        <v>0</v>
      </c>
      <c r="M187" s="327">
        <f ca="1">OFFSET(Cost_Ingredients!$O$73,D187,0)*$K187</f>
        <v>1074170.4545454546</v>
      </c>
      <c r="N187" s="328">
        <f ca="1">L187/Cost_Ingredients!$J$21</f>
        <v>0</v>
      </c>
      <c r="O187" s="328">
        <f ca="1">M187/Cost_Ingredients!$J$21</f>
        <v>7161.136363636364</v>
      </c>
      <c r="P187" s="321" t="s">
        <v>664</v>
      </c>
    </row>
    <row r="188" spans="2:16" s="23" customFormat="1" ht="15" customHeight="1" outlineLevel="1">
      <c r="D188" s="756">
        <v>1</v>
      </c>
      <c r="E188" s="756"/>
      <c r="F188" s="756"/>
      <c r="G188" s="757"/>
      <c r="H188" s="321"/>
      <c r="I188" s="323">
        <v>1</v>
      </c>
      <c r="J188" s="324"/>
      <c r="K188" s="326">
        <f t="shared" si="2"/>
        <v>0</v>
      </c>
      <c r="L188" s="327">
        <f ca="1">OFFSET(Cost_Ingredients!$N$73,D188,0)*$K188</f>
        <v>0</v>
      </c>
      <c r="M188" s="327">
        <f ca="1">OFFSET(Cost_Ingredients!$O$73,D188,0)*$K188</f>
        <v>0</v>
      </c>
      <c r="N188" s="328">
        <f ca="1">L188/Cost_Ingredients!$J$21</f>
        <v>0</v>
      </c>
      <c r="O188" s="328">
        <f ca="1">M188/Cost_Ingredients!$J$21</f>
        <v>0</v>
      </c>
      <c r="P188" s="321"/>
    </row>
    <row r="189" spans="2:16" s="23" customFormat="1" ht="15" customHeight="1" outlineLevel="1">
      <c r="D189" s="756">
        <v>7</v>
      </c>
      <c r="E189" s="756"/>
      <c r="F189" s="756"/>
      <c r="G189" s="757"/>
      <c r="H189" s="321"/>
      <c r="I189" s="323">
        <v>1</v>
      </c>
      <c r="J189" s="324"/>
      <c r="K189" s="326">
        <f t="shared" si="2"/>
        <v>0</v>
      </c>
      <c r="L189" s="327">
        <f ca="1">OFFSET(Cost_Ingredients!$N$73,D189,0)*$K189</f>
        <v>0</v>
      </c>
      <c r="M189" s="327">
        <f ca="1">OFFSET(Cost_Ingredients!$O$73,D189,0)*$K189</f>
        <v>0</v>
      </c>
      <c r="N189" s="328">
        <f ca="1">L189/Cost_Ingredients!$J$21</f>
        <v>0</v>
      </c>
      <c r="O189" s="328">
        <f ca="1">M189/Cost_Ingredients!$J$21</f>
        <v>0</v>
      </c>
      <c r="P189" s="321"/>
    </row>
    <row r="190" spans="2:16" s="23" customFormat="1" ht="15" customHeight="1" outlineLevel="1">
      <c r="D190" s="756">
        <v>1</v>
      </c>
      <c r="E190" s="756"/>
      <c r="F190" s="756"/>
      <c r="G190" s="757"/>
      <c r="H190" s="321"/>
      <c r="I190" s="323">
        <v>1</v>
      </c>
      <c r="J190" s="324"/>
      <c r="K190" s="326">
        <f t="shared" si="2"/>
        <v>0</v>
      </c>
      <c r="L190" s="327">
        <f ca="1">OFFSET(Cost_Ingredients!$N$73,D190,0)*$K190</f>
        <v>0</v>
      </c>
      <c r="M190" s="327">
        <f ca="1">OFFSET(Cost_Ingredients!$O$73,D190,0)*$K190</f>
        <v>0</v>
      </c>
      <c r="N190" s="328">
        <f ca="1">L190/Cost_Ingredients!$J$21</f>
        <v>0</v>
      </c>
      <c r="O190" s="328">
        <f ca="1">M190/Cost_Ingredients!$J$21</f>
        <v>0</v>
      </c>
      <c r="P190" s="321"/>
    </row>
    <row r="191" spans="2:16" s="23" customFormat="1" ht="15" customHeight="1" outlineLevel="1">
      <c r="D191" s="756">
        <v>1</v>
      </c>
      <c r="E191" s="756"/>
      <c r="F191" s="756"/>
      <c r="G191" s="757"/>
      <c r="H191" s="321"/>
      <c r="I191" s="323">
        <v>1</v>
      </c>
      <c r="J191" s="324"/>
      <c r="K191" s="326">
        <f t="shared" si="2"/>
        <v>0</v>
      </c>
      <c r="L191" s="327">
        <f ca="1">OFFSET(Cost_Ingredients!$N$73,D191,0)*$K191</f>
        <v>0</v>
      </c>
      <c r="M191" s="327">
        <f ca="1">OFFSET(Cost_Ingredients!$O$73,D191,0)*$K191</f>
        <v>0</v>
      </c>
      <c r="N191" s="328">
        <f ca="1">L191/Cost_Ingredients!$J$21</f>
        <v>0</v>
      </c>
      <c r="O191" s="328">
        <f ca="1">M191/Cost_Ingredients!$J$21</f>
        <v>0</v>
      </c>
      <c r="P191" s="321"/>
    </row>
    <row r="192" spans="2:16" s="23" customFormat="1" ht="15" customHeight="1" outlineLevel="1">
      <c r="D192" s="756">
        <v>1</v>
      </c>
      <c r="E192" s="756"/>
      <c r="F192" s="756"/>
      <c r="G192" s="757"/>
      <c r="H192" s="321"/>
      <c r="I192" s="323">
        <v>1</v>
      </c>
      <c r="J192" s="324"/>
      <c r="K192" s="326">
        <f t="shared" si="2"/>
        <v>0</v>
      </c>
      <c r="L192" s="327">
        <f ca="1">OFFSET(Cost_Ingredients!$N$73,D192,0)*$K192</f>
        <v>0</v>
      </c>
      <c r="M192" s="327">
        <f ca="1">OFFSET(Cost_Ingredients!$O$73,D192,0)*$K192</f>
        <v>0</v>
      </c>
      <c r="N192" s="328">
        <f ca="1">L192/Cost_Ingredients!$J$21</f>
        <v>0</v>
      </c>
      <c r="O192" s="328">
        <f ca="1">M192/Cost_Ingredients!$J$21</f>
        <v>0</v>
      </c>
      <c r="P192" s="321"/>
    </row>
    <row r="193" spans="3:16" s="23" customFormat="1" ht="15" customHeight="1" outlineLevel="1">
      <c r="D193" s="756">
        <v>1</v>
      </c>
      <c r="E193" s="756"/>
      <c r="F193" s="756"/>
      <c r="G193" s="757"/>
      <c r="H193" s="321"/>
      <c r="I193" s="323">
        <v>1</v>
      </c>
      <c r="J193" s="324">
        <v>0</v>
      </c>
      <c r="K193" s="326">
        <f t="shared" si="2"/>
        <v>0</v>
      </c>
      <c r="L193" s="327">
        <f ca="1">OFFSET(Cost_Ingredients!$N$73,D193,0)*$K193</f>
        <v>0</v>
      </c>
      <c r="M193" s="327">
        <f ca="1">OFFSET(Cost_Ingredients!$O$73,D193,0)*$K193</f>
        <v>0</v>
      </c>
      <c r="N193" s="328">
        <f ca="1">L193/Cost_Ingredients!$J$21</f>
        <v>0</v>
      </c>
      <c r="O193" s="328">
        <f ca="1">M193/Cost_Ingredients!$J$21</f>
        <v>0</v>
      </c>
      <c r="P193" s="321"/>
    </row>
    <row r="194" spans="3:16" s="23" customFormat="1" ht="15" customHeight="1" outlineLevel="1">
      <c r="D194" s="756">
        <v>1</v>
      </c>
      <c r="E194" s="756"/>
      <c r="F194" s="756"/>
      <c r="G194" s="757"/>
      <c r="H194" s="321"/>
      <c r="I194" s="323">
        <v>1</v>
      </c>
      <c r="J194" s="324">
        <v>0</v>
      </c>
      <c r="K194" s="326">
        <f t="shared" si="2"/>
        <v>0</v>
      </c>
      <c r="L194" s="327">
        <f ca="1">OFFSET(Cost_Ingredients!$N$73,D194,0)*$K194</f>
        <v>0</v>
      </c>
      <c r="M194" s="327">
        <f ca="1">OFFSET(Cost_Ingredients!$O$73,D194,0)*$K194</f>
        <v>0</v>
      </c>
      <c r="N194" s="328">
        <f ca="1">L194/Cost_Ingredients!$J$21</f>
        <v>0</v>
      </c>
      <c r="O194" s="328">
        <f ca="1">M194/Cost_Ingredients!$J$21</f>
        <v>0</v>
      </c>
      <c r="P194" s="321"/>
    </row>
    <row r="195" spans="3:16" s="23" customFormat="1" ht="15" customHeight="1" outlineLevel="1">
      <c r="D195" s="756">
        <v>1</v>
      </c>
      <c r="E195" s="756"/>
      <c r="F195" s="756"/>
      <c r="G195" s="757"/>
      <c r="H195" s="321"/>
      <c r="I195" s="323">
        <v>1</v>
      </c>
      <c r="J195" s="324">
        <v>0</v>
      </c>
      <c r="K195" s="326">
        <f t="shared" si="2"/>
        <v>0</v>
      </c>
      <c r="L195" s="327">
        <f ca="1">OFFSET(Cost_Ingredients!$N$73,D195,0)*$K195</f>
        <v>0</v>
      </c>
      <c r="M195" s="327">
        <f ca="1">OFFSET(Cost_Ingredients!$O$73,D195,0)*$K195</f>
        <v>0</v>
      </c>
      <c r="N195" s="328">
        <f ca="1">L195/Cost_Ingredients!$J$21</f>
        <v>0</v>
      </c>
      <c r="O195" s="328">
        <f ca="1">M195/Cost_Ingredients!$J$21</f>
        <v>0</v>
      </c>
      <c r="P195" s="321"/>
    </row>
    <row r="196" spans="3:16" s="23" customFormat="1" ht="15" customHeight="1" outlineLevel="1">
      <c r="D196" s="756">
        <v>1</v>
      </c>
      <c r="E196" s="756"/>
      <c r="F196" s="756"/>
      <c r="G196" s="757"/>
      <c r="H196" s="321"/>
      <c r="I196" s="323">
        <v>1</v>
      </c>
      <c r="J196" s="324">
        <v>0</v>
      </c>
      <c r="K196" s="326">
        <f t="shared" si="2"/>
        <v>0</v>
      </c>
      <c r="L196" s="327">
        <f ca="1">OFFSET(Cost_Ingredients!$N$73,D196,0)*$K196</f>
        <v>0</v>
      </c>
      <c r="M196" s="327">
        <f ca="1">OFFSET(Cost_Ingredients!$O$73,D196,0)*$K196</f>
        <v>0</v>
      </c>
      <c r="N196" s="328">
        <f ca="1">L196/Cost_Ingredients!$J$21</f>
        <v>0</v>
      </c>
      <c r="O196" s="328">
        <f ca="1">M196/Cost_Ingredients!$J$21</f>
        <v>0</v>
      </c>
      <c r="P196" s="321"/>
    </row>
    <row r="197" spans="3:16" s="23" customFormat="1" ht="15" customHeight="1" outlineLevel="1">
      <c r="D197" s="756">
        <v>1</v>
      </c>
      <c r="E197" s="756"/>
      <c r="F197" s="756"/>
      <c r="G197" s="757"/>
      <c r="H197" s="321"/>
      <c r="I197" s="323">
        <v>1</v>
      </c>
      <c r="J197" s="324">
        <v>0</v>
      </c>
      <c r="K197" s="326">
        <f t="shared" si="2"/>
        <v>0</v>
      </c>
      <c r="L197" s="327">
        <f ca="1">OFFSET(Cost_Ingredients!$N$73,D197,0)*$K197</f>
        <v>0</v>
      </c>
      <c r="M197" s="327">
        <f ca="1">OFFSET(Cost_Ingredients!$O$73,D197,0)*$K197</f>
        <v>0</v>
      </c>
      <c r="N197" s="328">
        <f ca="1">L197/Cost_Ingredients!$J$21</f>
        <v>0</v>
      </c>
      <c r="O197" s="328">
        <f ca="1">M197/Cost_Ingredients!$J$21</f>
        <v>0</v>
      </c>
      <c r="P197" s="321"/>
    </row>
    <row r="198" spans="3:16" s="23" customFormat="1" ht="15" customHeight="1" outlineLevel="1">
      <c r="D198" s="756">
        <v>1</v>
      </c>
      <c r="E198" s="756"/>
      <c r="F198" s="756"/>
      <c r="G198" s="757"/>
      <c r="H198" s="321"/>
      <c r="I198" s="323">
        <v>1</v>
      </c>
      <c r="J198" s="324">
        <v>0</v>
      </c>
      <c r="K198" s="326">
        <f t="shared" si="2"/>
        <v>0</v>
      </c>
      <c r="L198" s="327">
        <f ca="1">OFFSET(Cost_Ingredients!$N$73,D198,0)*$K198</f>
        <v>0</v>
      </c>
      <c r="M198" s="327">
        <f ca="1">OFFSET(Cost_Ingredients!$O$73,D198,0)*$K198</f>
        <v>0</v>
      </c>
      <c r="N198" s="328">
        <f ca="1">L198/Cost_Ingredients!$J$21</f>
        <v>0</v>
      </c>
      <c r="O198" s="328">
        <f ca="1">M198/Cost_Ingredients!$J$21</f>
        <v>0</v>
      </c>
      <c r="P198" s="321"/>
    </row>
    <row r="199" spans="3:16" s="23" customFormat="1" ht="15" customHeight="1" outlineLevel="1">
      <c r="D199" s="756">
        <v>1</v>
      </c>
      <c r="E199" s="756"/>
      <c r="F199" s="756"/>
      <c r="G199" s="757"/>
      <c r="H199" s="321"/>
      <c r="I199" s="323">
        <v>1</v>
      </c>
      <c r="J199" s="324">
        <v>0</v>
      </c>
      <c r="K199" s="326">
        <f t="shared" si="2"/>
        <v>0</v>
      </c>
      <c r="L199" s="327">
        <f ca="1">OFFSET(Cost_Ingredients!$N$73,D199,0)*$K199</f>
        <v>0</v>
      </c>
      <c r="M199" s="327">
        <f ca="1">OFFSET(Cost_Ingredients!$O$73,D199,0)*$K199</f>
        <v>0</v>
      </c>
      <c r="N199" s="328">
        <f ca="1">L199/Cost_Ingredients!$J$21</f>
        <v>0</v>
      </c>
      <c r="O199" s="328">
        <f ca="1">M199/Cost_Ingredients!$J$21</f>
        <v>0</v>
      </c>
      <c r="P199" s="321"/>
    </row>
    <row r="200" spans="3:16" s="23" customFormat="1" ht="15" customHeight="1" outlineLevel="1">
      <c r="D200" s="756">
        <v>1</v>
      </c>
      <c r="E200" s="756"/>
      <c r="F200" s="756"/>
      <c r="G200" s="757"/>
      <c r="H200" s="321"/>
      <c r="I200" s="323">
        <v>1</v>
      </c>
      <c r="J200" s="324">
        <v>0</v>
      </c>
      <c r="K200" s="326">
        <f t="shared" si="2"/>
        <v>0</v>
      </c>
      <c r="L200" s="327">
        <f ca="1">OFFSET(Cost_Ingredients!$N$73,D200,0)*$K200</f>
        <v>0</v>
      </c>
      <c r="M200" s="327">
        <f ca="1">OFFSET(Cost_Ingredients!$O$73,D200,0)*$K200</f>
        <v>0</v>
      </c>
      <c r="N200" s="328">
        <f ca="1">L200/Cost_Ingredients!$J$21</f>
        <v>0</v>
      </c>
      <c r="O200" s="328">
        <f ca="1">M200/Cost_Ingredients!$J$21</f>
        <v>0</v>
      </c>
      <c r="P200" s="321"/>
    </row>
    <row r="201" spans="3:16" s="23" customFormat="1" ht="15" customHeight="1" outlineLevel="1">
      <c r="D201" s="756">
        <v>1</v>
      </c>
      <c r="E201" s="756"/>
      <c r="F201" s="756"/>
      <c r="G201" s="757"/>
      <c r="H201" s="322"/>
      <c r="I201" s="323">
        <v>1</v>
      </c>
      <c r="J201" s="325">
        <v>0</v>
      </c>
      <c r="K201" s="326">
        <f t="shared" si="2"/>
        <v>0</v>
      </c>
      <c r="L201" s="327">
        <f ca="1">OFFSET(Cost_Ingredients!$N$73,D201,0)*$K201</f>
        <v>0</v>
      </c>
      <c r="M201" s="327">
        <f ca="1">OFFSET(Cost_Ingredients!$O$73,D201,0)*$K201</f>
        <v>0</v>
      </c>
      <c r="N201" s="328">
        <f ca="1">L201/Cost_Ingredients!$J$21</f>
        <v>0</v>
      </c>
      <c r="O201" s="328">
        <f ca="1">M201/Cost_Ingredients!$J$21</f>
        <v>0</v>
      </c>
      <c r="P201" s="322"/>
    </row>
    <row r="202" spans="3:16" s="23" customFormat="1">
      <c r="D202" s="12"/>
      <c r="E202" s="12"/>
      <c r="F202" s="12"/>
      <c r="G202" s="12"/>
      <c r="H202" s="156"/>
      <c r="I202" s="12"/>
      <c r="J202" s="69"/>
      <c r="K202" s="18"/>
      <c r="L202" s="255">
        <f ca="1">SUM(L187:L201)</f>
        <v>0</v>
      </c>
      <c r="M202" s="255">
        <f ca="1">SUM(M187:M201)</f>
        <v>1074170.4545454546</v>
      </c>
      <c r="N202" s="258">
        <f ca="1">SUM(N187:N201)</f>
        <v>0</v>
      </c>
      <c r="O202" s="258">
        <f ca="1">SUM(O187:O201)</f>
        <v>7161.136363636364</v>
      </c>
      <c r="P202" s="156"/>
    </row>
    <row r="203" spans="3:16" s="134" customFormat="1"/>
    <row r="204" spans="3:16" s="134" customFormat="1">
      <c r="C204" s="160" t="str">
        <f>FLU_LU!$D$279</f>
        <v>Allowances</v>
      </c>
    </row>
    <row r="205" spans="3:16" s="134" customFormat="1" ht="28.8" outlineLevel="1">
      <c r="D205" s="733" t="s">
        <v>100</v>
      </c>
      <c r="E205" s="733"/>
      <c r="F205" s="733"/>
      <c r="G205" s="733"/>
      <c r="H205" s="730" t="s">
        <v>274</v>
      </c>
      <c r="I205" s="730"/>
      <c r="J205" s="152" t="s">
        <v>67</v>
      </c>
      <c r="L205" s="28" t="str">
        <f>"Financial Price ("&amp;FLU_LU!$D$79&amp;")"</f>
        <v>Financial Price (GOZ)</v>
      </c>
      <c r="M205" s="28" t="str">
        <f>"Economic Price ("&amp;FLU_LU!$D$79&amp;")"</f>
        <v>Economic Price (GOZ)</v>
      </c>
      <c r="N205" s="28" t="str">
        <f>"Financial Price ("&amp;FLU_LU!$D$78&amp;")"</f>
        <v>Financial Price (USD)</v>
      </c>
      <c r="O205" s="28" t="str">
        <f>"Economic Price ("&amp;FLU_LU!$D$78&amp;")"</f>
        <v>Economic Price (USD)</v>
      </c>
      <c r="P205" s="152" t="s">
        <v>68</v>
      </c>
    </row>
    <row r="206" spans="3:16" s="23" customFormat="1" outlineLevel="1">
      <c r="D206" s="746">
        <v>1</v>
      </c>
      <c r="E206" s="747"/>
      <c r="F206" s="747"/>
      <c r="G206" s="748"/>
      <c r="H206" s="667"/>
      <c r="I206" s="667"/>
      <c r="J206" s="64">
        <v>4</v>
      </c>
      <c r="L206" s="162">
        <f ca="1">OFFSET(Cost_Ingredients!$N$103,$D206,0)*$J206</f>
        <v>0</v>
      </c>
      <c r="M206" s="162">
        <f ca="1">OFFSET(Cost_Ingredients!$O$103,$D206,0)*$J206</f>
        <v>0</v>
      </c>
      <c r="N206" s="163">
        <f ca="1">L206/Cost_Ingredients!$J$21</f>
        <v>0</v>
      </c>
      <c r="O206" s="163">
        <f ca="1">M206/Cost_Ingredients!$J$21</f>
        <v>0</v>
      </c>
      <c r="P206" s="151"/>
    </row>
    <row r="207" spans="3:16" s="23" customFormat="1" outlineLevel="1">
      <c r="D207" s="746">
        <v>1</v>
      </c>
      <c r="E207" s="747"/>
      <c r="F207" s="747"/>
      <c r="G207" s="748"/>
      <c r="H207" s="667"/>
      <c r="I207" s="667"/>
      <c r="J207" s="64"/>
      <c r="L207" s="162">
        <f ca="1">OFFSET(Cost_Ingredients!$N$103,$D207,0)*$J207</f>
        <v>0</v>
      </c>
      <c r="M207" s="162">
        <f ca="1">OFFSET(Cost_Ingredients!$O$103,$D207,0)*$J207</f>
        <v>0</v>
      </c>
      <c r="N207" s="163">
        <f ca="1">L207/Cost_Ingredients!$J$21</f>
        <v>0</v>
      </c>
      <c r="O207" s="163">
        <f ca="1">M207/Cost_Ingredients!$J$21</f>
        <v>0</v>
      </c>
      <c r="P207" s="151"/>
    </row>
    <row r="208" spans="3:16" s="23" customFormat="1" outlineLevel="1">
      <c r="D208" s="746">
        <v>1</v>
      </c>
      <c r="E208" s="747"/>
      <c r="F208" s="747"/>
      <c r="G208" s="748"/>
      <c r="H208" s="667"/>
      <c r="I208" s="667"/>
      <c r="J208" s="64"/>
      <c r="L208" s="162">
        <f ca="1">OFFSET(Cost_Ingredients!$N$103,$D208,0)*$J208</f>
        <v>0</v>
      </c>
      <c r="M208" s="162">
        <f ca="1">OFFSET(Cost_Ingredients!$O$103,$D208,0)*$J208</f>
        <v>0</v>
      </c>
      <c r="N208" s="163">
        <f ca="1">L208/Cost_Ingredients!$J$21</f>
        <v>0</v>
      </c>
      <c r="O208" s="163">
        <f ca="1">M208/Cost_Ingredients!$J$21</f>
        <v>0</v>
      </c>
      <c r="P208" s="151"/>
    </row>
    <row r="209" spans="3:16" s="23" customFormat="1" outlineLevel="1">
      <c r="D209" s="746">
        <v>1</v>
      </c>
      <c r="E209" s="747"/>
      <c r="F209" s="747"/>
      <c r="G209" s="748"/>
      <c r="H209" s="667"/>
      <c r="I209" s="667"/>
      <c r="J209" s="64"/>
      <c r="L209" s="162">
        <f ca="1">OFFSET(Cost_Ingredients!$N$103,$D209,0)*$J209</f>
        <v>0</v>
      </c>
      <c r="M209" s="162">
        <f ca="1">OFFSET(Cost_Ingredients!$O$103,$D209,0)*$J209</f>
        <v>0</v>
      </c>
      <c r="N209" s="163">
        <f ca="1">L209/Cost_Ingredients!$J$21</f>
        <v>0</v>
      </c>
      <c r="O209" s="163">
        <f ca="1">M209/Cost_Ingredients!$J$21</f>
        <v>0</v>
      </c>
      <c r="P209" s="151"/>
    </row>
    <row r="210" spans="3:16" s="23" customFormat="1" outlineLevel="1">
      <c r="D210" s="746">
        <v>1</v>
      </c>
      <c r="E210" s="747"/>
      <c r="F210" s="747"/>
      <c r="G210" s="748"/>
      <c r="H210" s="667"/>
      <c r="I210" s="667"/>
      <c r="J210" s="64"/>
      <c r="L210" s="162">
        <f ca="1">OFFSET(Cost_Ingredients!$N$103,$D210,0)*$J210</f>
        <v>0</v>
      </c>
      <c r="M210" s="162">
        <f ca="1">OFFSET(Cost_Ingredients!$O$103,$D210,0)*$J210</f>
        <v>0</v>
      </c>
      <c r="N210" s="163">
        <f ca="1">L210/Cost_Ingredients!$J$21</f>
        <v>0</v>
      </c>
      <c r="O210" s="163">
        <f ca="1">M210/Cost_Ingredients!$J$21</f>
        <v>0</v>
      </c>
      <c r="P210" s="151"/>
    </row>
    <row r="211" spans="3:16" s="23" customFormat="1" outlineLevel="1">
      <c r="D211" s="746">
        <v>1</v>
      </c>
      <c r="E211" s="747"/>
      <c r="F211" s="747"/>
      <c r="G211" s="748"/>
      <c r="H211" s="667"/>
      <c r="I211" s="667"/>
      <c r="J211" s="64"/>
      <c r="L211" s="162">
        <f ca="1">OFFSET(Cost_Ingredients!$N$103,$D211,0)*$J211</f>
        <v>0</v>
      </c>
      <c r="M211" s="162">
        <f ca="1">OFFSET(Cost_Ingredients!$O$103,$D211,0)*$J211</f>
        <v>0</v>
      </c>
      <c r="N211" s="163">
        <f ca="1">L211/Cost_Ingredients!$J$21</f>
        <v>0</v>
      </c>
      <c r="O211" s="163">
        <f ca="1">M211/Cost_Ingredients!$J$21</f>
        <v>0</v>
      </c>
      <c r="P211" s="151"/>
    </row>
    <row r="212" spans="3:16" s="23" customFormat="1" outlineLevel="1">
      <c r="D212" s="746">
        <v>1</v>
      </c>
      <c r="E212" s="747"/>
      <c r="F212" s="747"/>
      <c r="G212" s="748"/>
      <c r="H212" s="667"/>
      <c r="I212" s="667"/>
      <c r="J212" s="64"/>
      <c r="L212" s="162">
        <f ca="1">OFFSET(Cost_Ingredients!$N$103,$D212,0)*$J212</f>
        <v>0</v>
      </c>
      <c r="M212" s="162">
        <f ca="1">OFFSET(Cost_Ingredients!$O$103,$D212,0)*$J212</f>
        <v>0</v>
      </c>
      <c r="N212" s="163">
        <f ca="1">L212/Cost_Ingredients!$J$21</f>
        <v>0</v>
      </c>
      <c r="O212" s="163">
        <f ca="1">M212/Cost_Ingredients!$J$21</f>
        <v>0</v>
      </c>
      <c r="P212" s="151"/>
    </row>
    <row r="213" spans="3:16" s="23" customFormat="1" outlineLevel="1">
      <c r="D213" s="746">
        <v>1</v>
      </c>
      <c r="E213" s="747"/>
      <c r="F213" s="747"/>
      <c r="G213" s="748"/>
      <c r="H213" s="667"/>
      <c r="I213" s="667"/>
      <c r="J213" s="64"/>
      <c r="L213" s="162">
        <f ca="1">OFFSET(Cost_Ingredients!$N$103,$D213,0)*$J213</f>
        <v>0</v>
      </c>
      <c r="M213" s="162">
        <f ca="1">OFFSET(Cost_Ingredients!$O$103,$D213,0)*$J213</f>
        <v>0</v>
      </c>
      <c r="N213" s="163">
        <f ca="1">L213/Cost_Ingredients!$J$21</f>
        <v>0</v>
      </c>
      <c r="O213" s="163">
        <f ca="1">M213/Cost_Ingredients!$J$21</f>
        <v>0</v>
      </c>
      <c r="P213" s="151"/>
    </row>
    <row r="214" spans="3:16" s="23" customFormat="1" outlineLevel="1">
      <c r="D214" s="746">
        <v>1</v>
      </c>
      <c r="E214" s="747"/>
      <c r="F214" s="747"/>
      <c r="G214" s="748"/>
      <c r="H214" s="667"/>
      <c r="I214" s="667"/>
      <c r="J214" s="64"/>
      <c r="L214" s="162">
        <f ca="1">OFFSET(Cost_Ingredients!$N$103,$D214,0)*$J214</f>
        <v>0</v>
      </c>
      <c r="M214" s="162">
        <f ca="1">OFFSET(Cost_Ingredients!$O$103,$D214,0)*$J214</f>
        <v>0</v>
      </c>
      <c r="N214" s="163">
        <f ca="1">L214/Cost_Ingredients!$J$21</f>
        <v>0</v>
      </c>
      <c r="O214" s="163">
        <f ca="1">M214/Cost_Ingredients!$J$21</f>
        <v>0</v>
      </c>
      <c r="P214" s="151"/>
    </row>
    <row r="215" spans="3:16" s="23" customFormat="1" outlineLevel="1">
      <c r="D215" s="746">
        <v>1</v>
      </c>
      <c r="E215" s="747"/>
      <c r="F215" s="747"/>
      <c r="G215" s="748"/>
      <c r="H215" s="667"/>
      <c r="I215" s="667"/>
      <c r="J215" s="64"/>
      <c r="L215" s="162">
        <f ca="1">OFFSET(Cost_Ingredients!$N$103,$D215,0)*$J215</f>
        <v>0</v>
      </c>
      <c r="M215" s="162">
        <f ca="1">OFFSET(Cost_Ingredients!$O$103,$D215,0)*$J215</f>
        <v>0</v>
      </c>
      <c r="N215" s="163">
        <f ca="1">L215/Cost_Ingredients!$J$21</f>
        <v>0</v>
      </c>
      <c r="O215" s="163">
        <f ca="1">M215/Cost_Ingredients!$J$21</f>
        <v>0</v>
      </c>
      <c r="P215" s="151"/>
    </row>
    <row r="216" spans="3:16" s="23" customFormat="1" outlineLevel="1">
      <c r="D216" s="746">
        <v>1</v>
      </c>
      <c r="E216" s="747"/>
      <c r="F216" s="747"/>
      <c r="G216" s="748"/>
      <c r="H216" s="667"/>
      <c r="I216" s="667"/>
      <c r="J216" s="64"/>
      <c r="L216" s="162">
        <f ca="1">OFFSET(Cost_Ingredients!$N$103,$D216,0)*$J216</f>
        <v>0</v>
      </c>
      <c r="M216" s="162">
        <f ca="1">OFFSET(Cost_Ingredients!$O$103,$D216,0)*$J216</f>
        <v>0</v>
      </c>
      <c r="N216" s="163">
        <f ca="1">L216/Cost_Ingredients!$J$21</f>
        <v>0</v>
      </c>
      <c r="O216" s="163">
        <f ca="1">M216/Cost_Ingredients!$J$21</f>
        <v>0</v>
      </c>
      <c r="P216" s="151"/>
    </row>
    <row r="217" spans="3:16" s="23" customFormat="1" outlineLevel="1">
      <c r="D217" s="746">
        <v>1</v>
      </c>
      <c r="E217" s="747"/>
      <c r="F217" s="747"/>
      <c r="G217" s="748"/>
      <c r="H217" s="667"/>
      <c r="I217" s="667"/>
      <c r="J217" s="64"/>
      <c r="L217" s="162">
        <f ca="1">OFFSET(Cost_Ingredients!$N$103,$D217,0)*$J217</f>
        <v>0</v>
      </c>
      <c r="M217" s="162">
        <f ca="1">OFFSET(Cost_Ingredients!$O$103,$D217,0)*$J217</f>
        <v>0</v>
      </c>
      <c r="N217" s="163">
        <f ca="1">L217/Cost_Ingredients!$J$21</f>
        <v>0</v>
      </c>
      <c r="O217" s="163">
        <f ca="1">M217/Cost_Ingredients!$J$21</f>
        <v>0</v>
      </c>
      <c r="P217" s="151"/>
    </row>
    <row r="218" spans="3:16" s="23" customFormat="1" outlineLevel="1">
      <c r="D218" s="746">
        <v>1</v>
      </c>
      <c r="E218" s="747"/>
      <c r="F218" s="747"/>
      <c r="G218" s="748"/>
      <c r="H218" s="667"/>
      <c r="I218" s="667"/>
      <c r="J218" s="64"/>
      <c r="L218" s="162">
        <f ca="1">OFFSET(Cost_Ingredients!$N$103,$D218,0)*$J218</f>
        <v>0</v>
      </c>
      <c r="M218" s="162">
        <f ca="1">OFFSET(Cost_Ingredients!$O$103,$D218,0)*$J218</f>
        <v>0</v>
      </c>
      <c r="N218" s="163">
        <f ca="1">L218/Cost_Ingredients!$J$21</f>
        <v>0</v>
      </c>
      <c r="O218" s="163">
        <f ca="1">M218/Cost_Ingredients!$J$21</f>
        <v>0</v>
      </c>
      <c r="P218" s="151"/>
    </row>
    <row r="219" spans="3:16" s="23" customFormat="1" outlineLevel="1">
      <c r="D219" s="746">
        <v>1</v>
      </c>
      <c r="E219" s="747"/>
      <c r="F219" s="747"/>
      <c r="G219" s="748"/>
      <c r="H219" s="667"/>
      <c r="I219" s="667"/>
      <c r="J219" s="64"/>
      <c r="L219" s="162">
        <f ca="1">OFFSET(Cost_Ingredients!$N$103,$D219,0)*$J219</f>
        <v>0</v>
      </c>
      <c r="M219" s="162">
        <f ca="1">OFFSET(Cost_Ingredients!$O$103,$D219,0)*$J219</f>
        <v>0</v>
      </c>
      <c r="N219" s="163">
        <f ca="1">L219/Cost_Ingredients!$J$21</f>
        <v>0</v>
      </c>
      <c r="O219" s="163">
        <f ca="1">M219/Cost_Ingredients!$J$21</f>
        <v>0</v>
      </c>
      <c r="P219" s="151"/>
    </row>
    <row r="220" spans="3:16" s="23" customFormat="1" outlineLevel="1">
      <c r="D220" s="746">
        <v>1</v>
      </c>
      <c r="E220" s="747"/>
      <c r="F220" s="747"/>
      <c r="G220" s="748"/>
      <c r="H220" s="745"/>
      <c r="I220" s="745"/>
      <c r="J220" s="173">
        <v>0</v>
      </c>
      <c r="L220" s="162">
        <f ca="1">OFFSET(Cost_Ingredients!$N$103,$D220,0)*$J220</f>
        <v>0</v>
      </c>
      <c r="M220" s="162">
        <f ca="1">OFFSET(Cost_Ingredients!$O$103,$D220,0)*$J220</f>
        <v>0</v>
      </c>
      <c r="N220" s="163">
        <f ca="1">L220/Cost_Ingredients!$J$21</f>
        <v>0</v>
      </c>
      <c r="O220" s="163">
        <f ca="1">M220/Cost_Ingredients!$J$21</f>
        <v>0</v>
      </c>
      <c r="P220" s="172"/>
    </row>
    <row r="221" spans="3:16" s="23" customFormat="1">
      <c r="D221" s="754" t="str">
        <f>"Subtotal - "&amp;C204</f>
        <v>Subtotal - Allowances</v>
      </c>
      <c r="E221" s="755"/>
      <c r="F221" s="755"/>
      <c r="G221" s="755"/>
      <c r="H221" s="156"/>
      <c r="I221" s="156"/>
      <c r="J221" s="69"/>
      <c r="L221" s="255">
        <f ca="1">SUM(L206:L220)</f>
        <v>0</v>
      </c>
      <c r="M221" s="255">
        <f ca="1">SUM(M206:M220)</f>
        <v>0</v>
      </c>
      <c r="N221" s="258">
        <f ca="1">SUM(N206:N220)</f>
        <v>0</v>
      </c>
      <c r="O221" s="258">
        <f ca="1">SUM(O206:O220)</f>
        <v>0</v>
      </c>
      <c r="P221" s="156"/>
    </row>
    <row r="222" spans="3:16" s="134" customFormat="1"/>
    <row r="223" spans="3:16" s="134" customFormat="1">
      <c r="C223" s="160" t="str">
        <f>FLU_LU!$D$280</f>
        <v>Supplies &amp; Materials</v>
      </c>
    </row>
    <row r="224" spans="3:16" s="134" customFormat="1" ht="28.8" outlineLevel="1">
      <c r="D224" s="733" t="s">
        <v>100</v>
      </c>
      <c r="E224" s="733"/>
      <c r="F224" s="733"/>
      <c r="G224" s="733"/>
      <c r="H224" s="142" t="s">
        <v>274</v>
      </c>
      <c r="I224" s="72" t="s">
        <v>275</v>
      </c>
      <c r="J224" s="152" t="s">
        <v>67</v>
      </c>
      <c r="L224" s="28" t="str">
        <f>"Financial Price ("&amp;FLU_LU!$D$79&amp;")"</f>
        <v>Financial Price (GOZ)</v>
      </c>
      <c r="M224" s="28" t="str">
        <f>"Economic Price ("&amp;FLU_LU!$D$79&amp;")"</f>
        <v>Economic Price (GOZ)</v>
      </c>
      <c r="N224" s="28" t="str">
        <f>"Financial Price ("&amp;FLU_LU!$D$78&amp;")"</f>
        <v>Financial Price (USD)</v>
      </c>
      <c r="O224" s="28" t="str">
        <f>"Economic Price ("&amp;FLU_LU!$D$78&amp;")"</f>
        <v>Economic Price (USD)</v>
      </c>
      <c r="P224" s="152" t="s">
        <v>68</v>
      </c>
    </row>
    <row r="225" spans="4:16" s="23" customFormat="1" outlineLevel="1">
      <c r="D225" s="746">
        <v>1</v>
      </c>
      <c r="E225" s="747"/>
      <c r="F225" s="747"/>
      <c r="G225" s="748"/>
      <c r="H225" s="151"/>
      <c r="I225" s="159">
        <f ca="1">OFFSET(Cost_Ingredients!$M$117,$D225,0)</f>
        <v>0</v>
      </c>
      <c r="J225" s="64"/>
      <c r="L225" s="162">
        <f ca="1">OFFSET(Cost_Ingredients!$N$117,$D225,0)*$J225</f>
        <v>0</v>
      </c>
      <c r="M225" s="162">
        <f ca="1">OFFSET(Cost_Ingredients!$O$117,$D225,0)*$J225</f>
        <v>0</v>
      </c>
      <c r="N225" s="163">
        <f ca="1">L225/Cost_Ingredients!$J$21</f>
        <v>0</v>
      </c>
      <c r="O225" s="163">
        <f ca="1">M225/Cost_Ingredients!$J$21</f>
        <v>0</v>
      </c>
      <c r="P225" s="151"/>
    </row>
    <row r="226" spans="4:16" s="23" customFormat="1" outlineLevel="1">
      <c r="D226" s="746">
        <v>1</v>
      </c>
      <c r="E226" s="747"/>
      <c r="F226" s="747"/>
      <c r="G226" s="748"/>
      <c r="H226" s="151"/>
      <c r="I226" s="159">
        <f ca="1">OFFSET(Cost_Ingredients!$M$117,$D226,0)</f>
        <v>0</v>
      </c>
      <c r="J226" s="64"/>
      <c r="L226" s="162">
        <f ca="1">OFFSET(Cost_Ingredients!$N$117,$D226,0)*$J226</f>
        <v>0</v>
      </c>
      <c r="M226" s="162">
        <f ca="1">OFFSET(Cost_Ingredients!$O$117,$D226,0)*$J226</f>
        <v>0</v>
      </c>
      <c r="N226" s="163">
        <f ca="1">L226/Cost_Ingredients!$J$21</f>
        <v>0</v>
      </c>
      <c r="O226" s="163">
        <f ca="1">M226/Cost_Ingredients!$J$21</f>
        <v>0</v>
      </c>
      <c r="P226" s="151"/>
    </row>
    <row r="227" spans="4:16" s="23" customFormat="1" outlineLevel="1">
      <c r="D227" s="746">
        <v>1</v>
      </c>
      <c r="E227" s="747"/>
      <c r="F227" s="747"/>
      <c r="G227" s="748"/>
      <c r="H227" s="151"/>
      <c r="I227" s="159">
        <f ca="1">OFFSET(Cost_Ingredients!$M$117,$D227,0)</f>
        <v>0</v>
      </c>
      <c r="J227" s="64"/>
      <c r="L227" s="162">
        <f ca="1">OFFSET(Cost_Ingredients!$N$117,$D227,0)*$J227</f>
        <v>0</v>
      </c>
      <c r="M227" s="162">
        <f ca="1">OFFSET(Cost_Ingredients!$O$117,$D227,0)*$J227</f>
        <v>0</v>
      </c>
      <c r="N227" s="163">
        <f ca="1">L227/Cost_Ingredients!$J$21</f>
        <v>0</v>
      </c>
      <c r="O227" s="163">
        <f ca="1">M227/Cost_Ingredients!$J$21</f>
        <v>0</v>
      </c>
      <c r="P227" s="151"/>
    </row>
    <row r="228" spans="4:16" s="23" customFormat="1" outlineLevel="1">
      <c r="D228" s="746">
        <v>1</v>
      </c>
      <c r="E228" s="747"/>
      <c r="F228" s="747"/>
      <c r="G228" s="748"/>
      <c r="H228" s="151"/>
      <c r="I228" s="159">
        <f ca="1">OFFSET(Cost_Ingredients!$M$117,$D228,0)</f>
        <v>0</v>
      </c>
      <c r="J228" s="64"/>
      <c r="L228" s="162">
        <f ca="1">OFFSET(Cost_Ingredients!$N$117,$D228,0)*$J228</f>
        <v>0</v>
      </c>
      <c r="M228" s="162">
        <f ca="1">OFFSET(Cost_Ingredients!$O$117,$D228,0)*$J228</f>
        <v>0</v>
      </c>
      <c r="N228" s="163">
        <f ca="1">L228/Cost_Ingredients!$J$21</f>
        <v>0</v>
      </c>
      <c r="O228" s="163">
        <f ca="1">M228/Cost_Ingredients!$J$21</f>
        <v>0</v>
      </c>
      <c r="P228" s="151"/>
    </row>
    <row r="229" spans="4:16" s="23" customFormat="1" outlineLevel="1">
      <c r="D229" s="746">
        <v>1</v>
      </c>
      <c r="E229" s="747"/>
      <c r="F229" s="747"/>
      <c r="G229" s="748"/>
      <c r="H229" s="151"/>
      <c r="I229" s="159">
        <f ca="1">OFFSET(Cost_Ingredients!$M$117,$D229,0)</f>
        <v>0</v>
      </c>
      <c r="J229" s="64"/>
      <c r="L229" s="162">
        <f ca="1">OFFSET(Cost_Ingredients!$N$117,$D229,0)*$J229</f>
        <v>0</v>
      </c>
      <c r="M229" s="162">
        <f ca="1">OFFSET(Cost_Ingredients!$O$117,$D229,0)*$J229</f>
        <v>0</v>
      </c>
      <c r="N229" s="163">
        <f ca="1">L229/Cost_Ingredients!$J$21</f>
        <v>0</v>
      </c>
      <c r="O229" s="163">
        <f ca="1">M229/Cost_Ingredients!$J$21</f>
        <v>0</v>
      </c>
      <c r="P229" s="151"/>
    </row>
    <row r="230" spans="4:16" s="23" customFormat="1" outlineLevel="1">
      <c r="D230" s="746">
        <v>1</v>
      </c>
      <c r="E230" s="747"/>
      <c r="F230" s="747"/>
      <c r="G230" s="748"/>
      <c r="H230" s="151"/>
      <c r="I230" s="159">
        <f ca="1">OFFSET(Cost_Ingredients!$M$117,$D230,0)</f>
        <v>0</v>
      </c>
      <c r="J230" s="64">
        <v>0</v>
      </c>
      <c r="L230" s="162">
        <f ca="1">OFFSET(Cost_Ingredients!$N$117,$D230,0)*$J230</f>
        <v>0</v>
      </c>
      <c r="M230" s="162">
        <f ca="1">OFFSET(Cost_Ingredients!$O$117,$D230,0)*$J230</f>
        <v>0</v>
      </c>
      <c r="N230" s="163">
        <f ca="1">L230/Cost_Ingredients!$J$21</f>
        <v>0</v>
      </c>
      <c r="O230" s="163">
        <f ca="1">M230/Cost_Ingredients!$J$21</f>
        <v>0</v>
      </c>
      <c r="P230" s="151"/>
    </row>
    <row r="231" spans="4:16" s="23" customFormat="1" outlineLevel="1">
      <c r="D231" s="746">
        <v>1</v>
      </c>
      <c r="E231" s="747"/>
      <c r="F231" s="747"/>
      <c r="G231" s="748"/>
      <c r="H231" s="151"/>
      <c r="I231" s="159">
        <f ca="1">OFFSET(Cost_Ingredients!$M$117,$D231,0)</f>
        <v>0</v>
      </c>
      <c r="J231" s="64">
        <v>0</v>
      </c>
      <c r="L231" s="162">
        <f ca="1">OFFSET(Cost_Ingredients!$N$117,$D231,0)*$J231</f>
        <v>0</v>
      </c>
      <c r="M231" s="162">
        <f ca="1">OFFSET(Cost_Ingredients!$O$117,$D231,0)*$J231</f>
        <v>0</v>
      </c>
      <c r="N231" s="163">
        <f ca="1">L231/Cost_Ingredients!$J$21</f>
        <v>0</v>
      </c>
      <c r="O231" s="163">
        <f ca="1">M231/Cost_Ingredients!$J$21</f>
        <v>0</v>
      </c>
      <c r="P231" s="151"/>
    </row>
    <row r="232" spans="4:16" s="23" customFormat="1" outlineLevel="1">
      <c r="D232" s="746">
        <v>1</v>
      </c>
      <c r="E232" s="747"/>
      <c r="F232" s="747"/>
      <c r="G232" s="748"/>
      <c r="H232" s="151"/>
      <c r="I232" s="159">
        <f ca="1">OFFSET(Cost_Ingredients!$M$117,$D232,0)</f>
        <v>0</v>
      </c>
      <c r="J232" s="64">
        <v>0</v>
      </c>
      <c r="L232" s="162">
        <f ca="1">OFFSET(Cost_Ingredients!$N$117,$D232,0)*$J232</f>
        <v>0</v>
      </c>
      <c r="M232" s="162">
        <f ca="1">OFFSET(Cost_Ingredients!$O$117,$D232,0)*$J232</f>
        <v>0</v>
      </c>
      <c r="N232" s="163">
        <f ca="1">L232/Cost_Ingredients!$J$21</f>
        <v>0</v>
      </c>
      <c r="O232" s="163">
        <f ca="1">M232/Cost_Ingredients!$J$21</f>
        <v>0</v>
      </c>
      <c r="P232" s="151"/>
    </row>
    <row r="233" spans="4:16" s="23" customFormat="1" outlineLevel="1">
      <c r="D233" s="746">
        <v>1</v>
      </c>
      <c r="E233" s="747"/>
      <c r="F233" s="747"/>
      <c r="G233" s="748"/>
      <c r="H233" s="151"/>
      <c r="I233" s="159">
        <f ca="1">OFFSET(Cost_Ingredients!$M$117,$D233,0)</f>
        <v>0</v>
      </c>
      <c r="J233" s="64">
        <v>0</v>
      </c>
      <c r="L233" s="162">
        <f ca="1">OFFSET(Cost_Ingredients!$N$117,$D233,0)*$J233</f>
        <v>0</v>
      </c>
      <c r="M233" s="162">
        <f ca="1">OFFSET(Cost_Ingredients!$O$117,$D233,0)*$J233</f>
        <v>0</v>
      </c>
      <c r="N233" s="163">
        <f ca="1">L233/Cost_Ingredients!$J$21</f>
        <v>0</v>
      </c>
      <c r="O233" s="163">
        <f ca="1">M233/Cost_Ingredients!$J$21</f>
        <v>0</v>
      </c>
      <c r="P233" s="151"/>
    </row>
    <row r="234" spans="4:16" s="23" customFormat="1" outlineLevel="1">
      <c r="D234" s="746">
        <v>1</v>
      </c>
      <c r="E234" s="747"/>
      <c r="F234" s="747"/>
      <c r="G234" s="748"/>
      <c r="H234" s="151"/>
      <c r="I234" s="159">
        <f ca="1">OFFSET(Cost_Ingredients!$M$117,$D234,0)</f>
        <v>0</v>
      </c>
      <c r="J234" s="64">
        <v>0</v>
      </c>
      <c r="L234" s="162">
        <f ca="1">OFFSET(Cost_Ingredients!$N$117,$D234,0)*$J234</f>
        <v>0</v>
      </c>
      <c r="M234" s="162">
        <f ca="1">OFFSET(Cost_Ingredients!$O$117,$D234,0)*$J234</f>
        <v>0</v>
      </c>
      <c r="N234" s="163">
        <f ca="1">L234/Cost_Ingredients!$J$21</f>
        <v>0</v>
      </c>
      <c r="O234" s="163">
        <f ca="1">M234/Cost_Ingredients!$J$21</f>
        <v>0</v>
      </c>
      <c r="P234" s="151"/>
    </row>
    <row r="235" spans="4:16" s="23" customFormat="1" outlineLevel="1">
      <c r="D235" s="746">
        <v>1</v>
      </c>
      <c r="E235" s="747"/>
      <c r="F235" s="747"/>
      <c r="G235" s="748"/>
      <c r="H235" s="151"/>
      <c r="I235" s="159">
        <f ca="1">OFFSET(Cost_Ingredients!$M$117,$D235,0)</f>
        <v>0</v>
      </c>
      <c r="J235" s="64">
        <v>0</v>
      </c>
      <c r="L235" s="162">
        <f ca="1">OFFSET(Cost_Ingredients!$N$117,$D235,0)*$J235</f>
        <v>0</v>
      </c>
      <c r="M235" s="162">
        <f ca="1">OFFSET(Cost_Ingredients!$O$117,$D235,0)*$J235</f>
        <v>0</v>
      </c>
      <c r="N235" s="163">
        <f ca="1">L235/Cost_Ingredients!$J$21</f>
        <v>0</v>
      </c>
      <c r="O235" s="163">
        <f ca="1">M235/Cost_Ingredients!$J$21</f>
        <v>0</v>
      </c>
      <c r="P235" s="151"/>
    </row>
    <row r="236" spans="4:16" s="23" customFormat="1" outlineLevel="1">
      <c r="D236" s="746">
        <v>1</v>
      </c>
      <c r="E236" s="747"/>
      <c r="F236" s="747"/>
      <c r="G236" s="748"/>
      <c r="H236" s="151"/>
      <c r="I236" s="159">
        <f ca="1">OFFSET(Cost_Ingredients!$M$117,$D236,0)</f>
        <v>0</v>
      </c>
      <c r="J236" s="64">
        <v>0</v>
      </c>
      <c r="L236" s="162">
        <f ca="1">OFFSET(Cost_Ingredients!$N$117,$D236,0)*$J236</f>
        <v>0</v>
      </c>
      <c r="M236" s="162">
        <f ca="1">OFFSET(Cost_Ingredients!$O$117,$D236,0)*$J236</f>
        <v>0</v>
      </c>
      <c r="N236" s="163">
        <f ca="1">L236/Cost_Ingredients!$J$21</f>
        <v>0</v>
      </c>
      <c r="O236" s="163">
        <f ca="1">M236/Cost_Ingredients!$J$21</f>
        <v>0</v>
      </c>
      <c r="P236" s="151"/>
    </row>
    <row r="237" spans="4:16" s="23" customFormat="1" outlineLevel="1">
      <c r="D237" s="746">
        <v>1</v>
      </c>
      <c r="E237" s="747"/>
      <c r="F237" s="747"/>
      <c r="G237" s="748"/>
      <c r="H237" s="151"/>
      <c r="I237" s="159">
        <f ca="1">OFFSET(Cost_Ingredients!$M$117,$D237,0)</f>
        <v>0</v>
      </c>
      <c r="J237" s="64">
        <v>0</v>
      </c>
      <c r="L237" s="162">
        <f ca="1">OFFSET(Cost_Ingredients!$N$117,$D237,0)*$J237</f>
        <v>0</v>
      </c>
      <c r="M237" s="162">
        <f ca="1">OFFSET(Cost_Ingredients!$O$117,$D237,0)*$J237</f>
        <v>0</v>
      </c>
      <c r="N237" s="163">
        <f ca="1">L237/Cost_Ingredients!$J$21</f>
        <v>0</v>
      </c>
      <c r="O237" s="163">
        <f ca="1">M237/Cost_Ingredients!$J$21</f>
        <v>0</v>
      </c>
      <c r="P237" s="151"/>
    </row>
    <row r="238" spans="4:16" s="23" customFormat="1" outlineLevel="1">
      <c r="D238" s="746">
        <v>1</v>
      </c>
      <c r="E238" s="747"/>
      <c r="F238" s="747"/>
      <c r="G238" s="748"/>
      <c r="H238" s="151"/>
      <c r="I238" s="159">
        <f ca="1">OFFSET(Cost_Ingredients!$M$117,$D238,0)</f>
        <v>0</v>
      </c>
      <c r="J238" s="64">
        <v>0</v>
      </c>
      <c r="L238" s="162">
        <f ca="1">OFFSET(Cost_Ingredients!$N$117,$D238,0)*$J238</f>
        <v>0</v>
      </c>
      <c r="M238" s="162">
        <f ca="1">OFFSET(Cost_Ingredients!$O$117,$D238,0)*$J238</f>
        <v>0</v>
      </c>
      <c r="N238" s="163">
        <f ca="1">L238/Cost_Ingredients!$J$21</f>
        <v>0</v>
      </c>
      <c r="O238" s="163">
        <f ca="1">M238/Cost_Ingredients!$J$21</f>
        <v>0</v>
      </c>
      <c r="P238" s="151"/>
    </row>
    <row r="239" spans="4:16" s="23" customFormat="1" outlineLevel="1">
      <c r="D239" s="746">
        <v>1</v>
      </c>
      <c r="E239" s="747"/>
      <c r="F239" s="747"/>
      <c r="G239" s="748"/>
      <c r="H239" s="172"/>
      <c r="I239" s="159">
        <f ca="1">OFFSET(Cost_Ingredients!$M$117,$D239,0)</f>
        <v>0</v>
      </c>
      <c r="J239" s="173">
        <v>0</v>
      </c>
      <c r="L239" s="162">
        <f ca="1">OFFSET(Cost_Ingredients!$N$117,$D239,0)*$J239</f>
        <v>0</v>
      </c>
      <c r="M239" s="162">
        <f ca="1">OFFSET(Cost_Ingredients!$O$117,$D239,0)*$J239</f>
        <v>0</v>
      </c>
      <c r="N239" s="163">
        <f ca="1">L239/Cost_Ingredients!$J$21</f>
        <v>0</v>
      </c>
      <c r="O239" s="163">
        <f ca="1">M239/Cost_Ingredients!$J$21</f>
        <v>0</v>
      </c>
      <c r="P239" s="172"/>
    </row>
    <row r="240" spans="4:16" s="23" customFormat="1">
      <c r="D240" s="754" t="str">
        <f>"Subtotal - "&amp;C223</f>
        <v>Subtotal - Supplies &amp; Materials</v>
      </c>
      <c r="E240" s="755"/>
      <c r="F240" s="755"/>
      <c r="G240" s="755"/>
      <c r="H240" s="156"/>
      <c r="I240" s="156"/>
      <c r="J240" s="69"/>
      <c r="L240" s="255">
        <f ca="1">SUM(L225:L239)</f>
        <v>0</v>
      </c>
      <c r="M240" s="255">
        <f ca="1">SUM(M225:M239)</f>
        <v>0</v>
      </c>
      <c r="N240" s="258">
        <f ca="1">SUM(N225:N239)</f>
        <v>0</v>
      </c>
      <c r="O240" s="258">
        <f ca="1">SUM(O225:O239)</f>
        <v>0</v>
      </c>
      <c r="P240" s="156"/>
    </row>
    <row r="241" spans="3:16" s="134" customFormat="1"/>
    <row r="242" spans="3:16" s="134" customFormat="1">
      <c r="C242" s="160" t="str">
        <f>FLU_LU!$D$281</f>
        <v>Other Direct Costs (Recurrent)</v>
      </c>
    </row>
    <row r="243" spans="3:16" s="134" customFormat="1" ht="28.8" outlineLevel="1">
      <c r="D243" s="733" t="s">
        <v>100</v>
      </c>
      <c r="E243" s="733"/>
      <c r="F243" s="733"/>
      <c r="G243" s="733"/>
      <c r="H243" s="142" t="s">
        <v>274</v>
      </c>
      <c r="I243" s="72" t="s">
        <v>275</v>
      </c>
      <c r="J243" s="152" t="s">
        <v>67</v>
      </c>
      <c r="L243" s="28" t="str">
        <f>"Financial Price ("&amp;FLU_LU!$D$79&amp;")"</f>
        <v>Financial Price (GOZ)</v>
      </c>
      <c r="M243" s="28" t="str">
        <f>"Economic Price ("&amp;FLU_LU!$D$79&amp;")"</f>
        <v>Economic Price (GOZ)</v>
      </c>
      <c r="N243" s="28" t="str">
        <f>"Financial Price ("&amp;FLU_LU!$D$78&amp;")"</f>
        <v>Financial Price (USD)</v>
      </c>
      <c r="O243" s="28" t="str">
        <f>"Economic Price ("&amp;FLU_LU!$D$78&amp;")"</f>
        <v>Economic Price (USD)</v>
      </c>
      <c r="P243" s="152" t="s">
        <v>68</v>
      </c>
    </row>
    <row r="244" spans="3:16" s="23" customFormat="1" outlineLevel="1">
      <c r="D244" s="746">
        <v>1</v>
      </c>
      <c r="E244" s="747"/>
      <c r="F244" s="747"/>
      <c r="G244" s="748"/>
      <c r="H244" s="151"/>
      <c r="I244" s="159">
        <f ca="1">OFFSET(Cost_Ingredients!$M$146,$D244,0)</f>
        <v>0</v>
      </c>
      <c r="J244" s="64"/>
      <c r="L244" s="162">
        <f ca="1">OFFSET(Cost_Ingredients!$N$146,$D244,0)*$J244</f>
        <v>0</v>
      </c>
      <c r="M244" s="162">
        <f ca="1">OFFSET(Cost_Ingredients!$O$146,$D244,0)*$J244</f>
        <v>0</v>
      </c>
      <c r="N244" s="163">
        <f ca="1">L244/Cost_Ingredients!$J$21</f>
        <v>0</v>
      </c>
      <c r="O244" s="163">
        <f ca="1">M244/Cost_Ingredients!$J$21</f>
        <v>0</v>
      </c>
      <c r="P244" s="151"/>
    </row>
    <row r="245" spans="3:16" s="23" customFormat="1" outlineLevel="1">
      <c r="D245" s="746">
        <v>1</v>
      </c>
      <c r="E245" s="747"/>
      <c r="F245" s="747"/>
      <c r="G245" s="748"/>
      <c r="H245" s="151"/>
      <c r="I245" s="159">
        <f ca="1">OFFSET(Cost_Ingredients!$M$146,$D245,0)</f>
        <v>0</v>
      </c>
      <c r="J245" s="64">
        <v>0</v>
      </c>
      <c r="L245" s="162">
        <f ca="1">OFFSET(Cost_Ingredients!$N$146,$D245,0)*$J245</f>
        <v>0</v>
      </c>
      <c r="M245" s="162">
        <f ca="1">OFFSET(Cost_Ingredients!$O$146,$D245,0)*$J245</f>
        <v>0</v>
      </c>
      <c r="N245" s="163">
        <f ca="1">L245/Cost_Ingredients!$J$21</f>
        <v>0</v>
      </c>
      <c r="O245" s="163">
        <f ca="1">M245/Cost_Ingredients!$J$21</f>
        <v>0</v>
      </c>
      <c r="P245" s="151"/>
    </row>
    <row r="246" spans="3:16" s="23" customFormat="1" outlineLevel="1">
      <c r="D246" s="746">
        <v>1</v>
      </c>
      <c r="E246" s="747"/>
      <c r="F246" s="747"/>
      <c r="G246" s="748"/>
      <c r="H246" s="151"/>
      <c r="I246" s="159">
        <f ca="1">OFFSET(Cost_Ingredients!$M$146,$D246,0)</f>
        <v>0</v>
      </c>
      <c r="J246" s="64">
        <v>0</v>
      </c>
      <c r="L246" s="162">
        <f ca="1">OFFSET(Cost_Ingredients!$N$146,$D246,0)*$J246</f>
        <v>0</v>
      </c>
      <c r="M246" s="162">
        <f ca="1">OFFSET(Cost_Ingredients!$O$146,$D246,0)*$J246</f>
        <v>0</v>
      </c>
      <c r="N246" s="163">
        <f ca="1">L246/Cost_Ingredients!$J$21</f>
        <v>0</v>
      </c>
      <c r="O246" s="163">
        <f ca="1">M246/Cost_Ingredients!$J$21</f>
        <v>0</v>
      </c>
      <c r="P246" s="151"/>
    </row>
    <row r="247" spans="3:16" s="23" customFormat="1" outlineLevel="1">
      <c r="D247" s="746">
        <v>1</v>
      </c>
      <c r="E247" s="747"/>
      <c r="F247" s="747"/>
      <c r="G247" s="748"/>
      <c r="H247" s="151"/>
      <c r="I247" s="159">
        <f ca="1">OFFSET(Cost_Ingredients!$M$146,$D247,0)</f>
        <v>0</v>
      </c>
      <c r="J247" s="64">
        <v>0</v>
      </c>
      <c r="L247" s="162">
        <f ca="1">OFFSET(Cost_Ingredients!$N$146,$D247,0)*$J247</f>
        <v>0</v>
      </c>
      <c r="M247" s="162">
        <f ca="1">OFFSET(Cost_Ingredients!$O$146,$D247,0)*$J247</f>
        <v>0</v>
      </c>
      <c r="N247" s="163">
        <f ca="1">L247/Cost_Ingredients!$J$21</f>
        <v>0</v>
      </c>
      <c r="O247" s="163">
        <f ca="1">M247/Cost_Ingredients!$J$21</f>
        <v>0</v>
      </c>
      <c r="P247" s="151"/>
    </row>
    <row r="248" spans="3:16" s="23" customFormat="1" outlineLevel="1">
      <c r="D248" s="746">
        <v>1</v>
      </c>
      <c r="E248" s="747"/>
      <c r="F248" s="747"/>
      <c r="G248" s="748"/>
      <c r="H248" s="151"/>
      <c r="I248" s="159">
        <f ca="1">OFFSET(Cost_Ingredients!$M$146,$D248,0)</f>
        <v>0</v>
      </c>
      <c r="J248" s="64">
        <v>0</v>
      </c>
      <c r="L248" s="162">
        <f ca="1">OFFSET(Cost_Ingredients!$N$146,$D248,0)*$J248</f>
        <v>0</v>
      </c>
      <c r="M248" s="162">
        <f ca="1">OFFSET(Cost_Ingredients!$O$146,$D248,0)*$J248</f>
        <v>0</v>
      </c>
      <c r="N248" s="163">
        <f ca="1">L248/Cost_Ingredients!$J$21</f>
        <v>0</v>
      </c>
      <c r="O248" s="163">
        <f ca="1">M248/Cost_Ingredients!$J$21</f>
        <v>0</v>
      </c>
      <c r="P248" s="151"/>
    </row>
    <row r="249" spans="3:16" s="23" customFormat="1" outlineLevel="1">
      <c r="D249" s="746">
        <v>1</v>
      </c>
      <c r="E249" s="747"/>
      <c r="F249" s="747"/>
      <c r="G249" s="748"/>
      <c r="H249" s="151"/>
      <c r="I249" s="159">
        <f ca="1">OFFSET(Cost_Ingredients!$M$146,$D249,0)</f>
        <v>0</v>
      </c>
      <c r="J249" s="64">
        <v>0</v>
      </c>
      <c r="L249" s="162">
        <f ca="1">OFFSET(Cost_Ingredients!$N$146,$D249,0)*$J249</f>
        <v>0</v>
      </c>
      <c r="M249" s="162">
        <f ca="1">OFFSET(Cost_Ingredients!$O$146,$D249,0)*$J249</f>
        <v>0</v>
      </c>
      <c r="N249" s="163">
        <f ca="1">L249/Cost_Ingredients!$J$21</f>
        <v>0</v>
      </c>
      <c r="O249" s="163">
        <f ca="1">M249/Cost_Ingredients!$J$21</f>
        <v>0</v>
      </c>
      <c r="P249" s="151"/>
    </row>
    <row r="250" spans="3:16" s="23" customFormat="1" outlineLevel="1">
      <c r="D250" s="746">
        <v>1</v>
      </c>
      <c r="E250" s="747"/>
      <c r="F250" s="747"/>
      <c r="G250" s="748"/>
      <c r="H250" s="151"/>
      <c r="I250" s="159">
        <f ca="1">OFFSET(Cost_Ingredients!$M$146,$D250,0)</f>
        <v>0</v>
      </c>
      <c r="J250" s="64">
        <v>0</v>
      </c>
      <c r="L250" s="162">
        <f ca="1">OFFSET(Cost_Ingredients!$N$146,$D250,0)*$J250</f>
        <v>0</v>
      </c>
      <c r="M250" s="162">
        <f ca="1">OFFSET(Cost_Ingredients!$O$146,$D250,0)*$J250</f>
        <v>0</v>
      </c>
      <c r="N250" s="163">
        <f ca="1">L250/Cost_Ingredients!$J$21</f>
        <v>0</v>
      </c>
      <c r="O250" s="163">
        <f ca="1">M250/Cost_Ingredients!$J$21</f>
        <v>0</v>
      </c>
      <c r="P250" s="151"/>
    </row>
    <row r="251" spans="3:16" s="23" customFormat="1" outlineLevel="1">
      <c r="D251" s="746">
        <v>1</v>
      </c>
      <c r="E251" s="747"/>
      <c r="F251" s="747"/>
      <c r="G251" s="748"/>
      <c r="H251" s="151"/>
      <c r="I251" s="159">
        <f ca="1">OFFSET(Cost_Ingredients!$M$146,$D251,0)</f>
        <v>0</v>
      </c>
      <c r="J251" s="64">
        <v>0</v>
      </c>
      <c r="L251" s="162">
        <f ca="1">OFFSET(Cost_Ingredients!$N$146,$D251,0)*$J251</f>
        <v>0</v>
      </c>
      <c r="M251" s="162">
        <f ca="1">OFFSET(Cost_Ingredients!$O$146,$D251,0)*$J251</f>
        <v>0</v>
      </c>
      <c r="N251" s="163">
        <f ca="1">L251/Cost_Ingredients!$J$21</f>
        <v>0</v>
      </c>
      <c r="O251" s="163">
        <f ca="1">M251/Cost_Ingredients!$J$21</f>
        <v>0</v>
      </c>
      <c r="P251" s="151"/>
    </row>
    <row r="252" spans="3:16" s="23" customFormat="1" outlineLevel="1">
      <c r="D252" s="746">
        <v>1</v>
      </c>
      <c r="E252" s="747"/>
      <c r="F252" s="747"/>
      <c r="G252" s="748"/>
      <c r="H252" s="151"/>
      <c r="I252" s="159">
        <f ca="1">OFFSET(Cost_Ingredients!$M$146,$D252,0)</f>
        <v>0</v>
      </c>
      <c r="J252" s="64">
        <v>0</v>
      </c>
      <c r="L252" s="162">
        <f ca="1">OFFSET(Cost_Ingredients!$N$146,$D252,0)*$J252</f>
        <v>0</v>
      </c>
      <c r="M252" s="162">
        <f ca="1">OFFSET(Cost_Ingredients!$O$146,$D252,0)*$J252</f>
        <v>0</v>
      </c>
      <c r="N252" s="163">
        <f ca="1">L252/Cost_Ingredients!$J$21</f>
        <v>0</v>
      </c>
      <c r="O252" s="163">
        <f ca="1">M252/Cost_Ingredients!$J$21</f>
        <v>0</v>
      </c>
      <c r="P252" s="151"/>
    </row>
    <row r="253" spans="3:16" s="23" customFormat="1" outlineLevel="1">
      <c r="D253" s="746">
        <v>1</v>
      </c>
      <c r="E253" s="747"/>
      <c r="F253" s="747"/>
      <c r="G253" s="748"/>
      <c r="H253" s="151"/>
      <c r="I253" s="159">
        <f ca="1">OFFSET(Cost_Ingredients!$M$146,$D253,0)</f>
        <v>0</v>
      </c>
      <c r="J253" s="64">
        <v>0</v>
      </c>
      <c r="L253" s="162">
        <f ca="1">OFFSET(Cost_Ingredients!$N$146,$D253,0)*$J253</f>
        <v>0</v>
      </c>
      <c r="M253" s="162">
        <f ca="1">OFFSET(Cost_Ingredients!$O$146,$D253,0)*$J253</f>
        <v>0</v>
      </c>
      <c r="N253" s="163">
        <f ca="1">L253/Cost_Ingredients!$J$21</f>
        <v>0</v>
      </c>
      <c r="O253" s="163">
        <f ca="1">M253/Cost_Ingredients!$J$21</f>
        <v>0</v>
      </c>
      <c r="P253" s="151"/>
    </row>
    <row r="254" spans="3:16" s="23" customFormat="1" outlineLevel="1">
      <c r="D254" s="746">
        <v>1</v>
      </c>
      <c r="E254" s="747"/>
      <c r="F254" s="747"/>
      <c r="G254" s="748"/>
      <c r="H254" s="151"/>
      <c r="I254" s="159">
        <f ca="1">OFFSET(Cost_Ingredients!$M$146,$D254,0)</f>
        <v>0</v>
      </c>
      <c r="J254" s="64">
        <v>0</v>
      </c>
      <c r="L254" s="162">
        <f ca="1">OFFSET(Cost_Ingredients!$N$146,$D254,0)*$J254</f>
        <v>0</v>
      </c>
      <c r="M254" s="162">
        <f ca="1">OFFSET(Cost_Ingredients!$O$146,$D254,0)*$J254</f>
        <v>0</v>
      </c>
      <c r="N254" s="163">
        <f ca="1">L254/Cost_Ingredients!$J$21</f>
        <v>0</v>
      </c>
      <c r="O254" s="163">
        <f ca="1">M254/Cost_Ingredients!$J$21</f>
        <v>0</v>
      </c>
      <c r="P254" s="151"/>
    </row>
    <row r="255" spans="3:16" s="23" customFormat="1" outlineLevel="1">
      <c r="D255" s="746">
        <v>1</v>
      </c>
      <c r="E255" s="747"/>
      <c r="F255" s="747"/>
      <c r="G255" s="748"/>
      <c r="H255" s="151"/>
      <c r="I255" s="159">
        <f ca="1">OFFSET(Cost_Ingredients!$M$146,$D255,0)</f>
        <v>0</v>
      </c>
      <c r="J255" s="64">
        <v>0</v>
      </c>
      <c r="L255" s="162">
        <f ca="1">OFFSET(Cost_Ingredients!$N$146,$D255,0)*$J255</f>
        <v>0</v>
      </c>
      <c r="M255" s="162">
        <f ca="1">OFFSET(Cost_Ingredients!$O$146,$D255,0)*$J255</f>
        <v>0</v>
      </c>
      <c r="N255" s="163">
        <f ca="1">L255/Cost_Ingredients!$J$21</f>
        <v>0</v>
      </c>
      <c r="O255" s="163">
        <f ca="1">M255/Cost_Ingredients!$J$21</f>
        <v>0</v>
      </c>
      <c r="P255" s="151"/>
    </row>
    <row r="256" spans="3:16" s="23" customFormat="1" outlineLevel="1">
      <c r="D256" s="746">
        <v>1</v>
      </c>
      <c r="E256" s="747"/>
      <c r="F256" s="747"/>
      <c r="G256" s="748"/>
      <c r="H256" s="151"/>
      <c r="I256" s="159">
        <f ca="1">OFFSET(Cost_Ingredients!$M$146,$D256,0)</f>
        <v>0</v>
      </c>
      <c r="J256" s="64">
        <v>0</v>
      </c>
      <c r="L256" s="162">
        <f ca="1">OFFSET(Cost_Ingredients!$N$146,$D256,0)*$J256</f>
        <v>0</v>
      </c>
      <c r="M256" s="162">
        <f ca="1">OFFSET(Cost_Ingredients!$O$146,$D256,0)*$J256</f>
        <v>0</v>
      </c>
      <c r="N256" s="163">
        <f ca="1">L256/Cost_Ingredients!$J$21</f>
        <v>0</v>
      </c>
      <c r="O256" s="163">
        <f ca="1">M256/Cost_Ingredients!$J$21</f>
        <v>0</v>
      </c>
      <c r="P256" s="151"/>
    </row>
    <row r="257" spans="3:16" s="23" customFormat="1" outlineLevel="1">
      <c r="D257" s="746">
        <v>1</v>
      </c>
      <c r="E257" s="747"/>
      <c r="F257" s="747"/>
      <c r="G257" s="748"/>
      <c r="H257" s="151"/>
      <c r="I257" s="159">
        <f ca="1">OFFSET(Cost_Ingredients!$M$146,$D257,0)</f>
        <v>0</v>
      </c>
      <c r="J257" s="64">
        <v>0</v>
      </c>
      <c r="L257" s="162">
        <f ca="1">OFFSET(Cost_Ingredients!$N$146,$D257,0)*$J257</f>
        <v>0</v>
      </c>
      <c r="M257" s="162">
        <f ca="1">OFFSET(Cost_Ingredients!$O$146,$D257,0)*$J257</f>
        <v>0</v>
      </c>
      <c r="N257" s="163">
        <f ca="1">L257/Cost_Ingredients!$J$21</f>
        <v>0</v>
      </c>
      <c r="O257" s="163">
        <f ca="1">M257/Cost_Ingredients!$J$21</f>
        <v>0</v>
      </c>
      <c r="P257" s="151"/>
    </row>
    <row r="258" spans="3:16" s="23" customFormat="1" outlineLevel="1">
      <c r="D258" s="746">
        <v>1</v>
      </c>
      <c r="E258" s="747"/>
      <c r="F258" s="747"/>
      <c r="G258" s="748"/>
      <c r="H258" s="172"/>
      <c r="I258" s="159">
        <f ca="1">OFFSET(Cost_Ingredients!$M$146,$D258,0)</f>
        <v>0</v>
      </c>
      <c r="J258" s="173">
        <v>0</v>
      </c>
      <c r="L258" s="162">
        <f ca="1">OFFSET(Cost_Ingredients!$N$146,$D258,0)*$J258</f>
        <v>0</v>
      </c>
      <c r="M258" s="162">
        <f ca="1">OFFSET(Cost_Ingredients!$O$146,$D258,0)*$J258</f>
        <v>0</v>
      </c>
      <c r="N258" s="163">
        <f ca="1">L258/Cost_Ingredients!$J$21</f>
        <v>0</v>
      </c>
      <c r="O258" s="163">
        <f ca="1">M258/Cost_Ingredients!$J$21</f>
        <v>0</v>
      </c>
      <c r="P258" s="172"/>
    </row>
    <row r="259" spans="3:16" s="23" customFormat="1">
      <c r="D259" s="754" t="str">
        <f t="shared" ref="D259" si="3">"Subtotal - "&amp;C242</f>
        <v>Subtotal - Other Direct Costs (Recurrent)</v>
      </c>
      <c r="E259" s="755"/>
      <c r="F259" s="755"/>
      <c r="G259" s="755"/>
      <c r="H259" s="156"/>
      <c r="I259" s="156"/>
      <c r="J259" s="69"/>
      <c r="L259" s="255">
        <f ca="1">SUM(L244:L258)</f>
        <v>0</v>
      </c>
      <c r="M259" s="255">
        <f ca="1">SUM(M244:M258)</f>
        <v>0</v>
      </c>
      <c r="N259" s="258">
        <f ca="1">SUM(N244:N258)</f>
        <v>0</v>
      </c>
      <c r="O259" s="258">
        <f ca="1">SUM(O244:O258)</f>
        <v>0</v>
      </c>
      <c r="P259" s="156"/>
    </row>
    <row r="260" spans="3:16" s="134" customFormat="1"/>
    <row r="261" spans="3:16" s="134" customFormat="1" ht="15" thickBot="1">
      <c r="C261" s="70" t="str">
        <f>B179&amp;" -Cost per Activity"</f>
        <v>Detailed Cost Estimate: Distribute Vacc Materials from 12 Directorates to Health Facilities -Cost per Activity</v>
      </c>
      <c r="L261" s="191">
        <f ca="1">SUM(L202,L221,L240,L259)</f>
        <v>0</v>
      </c>
      <c r="M261" s="191">
        <f ca="1">SUM(M202,M221,M240,M259)</f>
        <v>1074170.4545454546</v>
      </c>
      <c r="N261" s="227">
        <f ca="1">SUM(N202,N221,N240,N259)</f>
        <v>0</v>
      </c>
      <c r="O261" s="227">
        <f ca="1">SUM(O202,O221,O240,O259)</f>
        <v>7161.136363636364</v>
      </c>
    </row>
    <row r="262" spans="3:16" s="134" customFormat="1" ht="15" thickTop="1"/>
    <row r="263" spans="3:16" s="134" customFormat="1"/>
    <row r="264" spans="3:16" s="134" customFormat="1"/>
    <row r="265" spans="3:16" s="134" customFormat="1"/>
    <row r="266" spans="3:16" s="134" customFormat="1"/>
    <row r="267" spans="3:16" s="134" customFormat="1"/>
    <row r="268" spans="3:16" s="134" customFormat="1"/>
    <row r="269" spans="3:16" s="134" customFormat="1"/>
    <row r="270" spans="3:16" s="134" customFormat="1"/>
    <row r="271" spans="3:16" s="134" customFormat="1"/>
    <row r="272" spans="3:16" s="134" customFormat="1"/>
    <row r="273" s="134" customFormat="1"/>
    <row r="274" s="134" customFormat="1"/>
    <row r="275" s="134" customFormat="1"/>
    <row r="276" s="134" customFormat="1"/>
    <row r="277" s="134" customFormat="1"/>
    <row r="278" s="134" customFormat="1"/>
    <row r="279" s="134" customFormat="1"/>
    <row r="280" s="134" customFormat="1"/>
    <row r="281" s="134" customFormat="1"/>
    <row r="282" s="134" customFormat="1"/>
    <row r="283" s="134" customFormat="1"/>
    <row r="284" s="134" customFormat="1"/>
    <row r="285" s="134" customFormat="1"/>
    <row r="286" s="134" customFormat="1"/>
    <row r="287" s="134" customFormat="1"/>
    <row r="288" s="134" customFormat="1"/>
    <row r="289" s="134" customFormat="1"/>
    <row r="290" s="134" customFormat="1"/>
    <row r="291" s="134" customFormat="1"/>
    <row r="292" s="134" customFormat="1"/>
    <row r="293" s="134" customFormat="1"/>
    <row r="294" s="134" customFormat="1"/>
    <row r="295" s="134" customFormat="1"/>
    <row r="296" s="134" customFormat="1"/>
    <row r="297" s="134" customFormat="1"/>
    <row r="298" s="134" customFormat="1"/>
    <row r="299" s="134" customFormat="1"/>
    <row r="300" s="134" customFormat="1"/>
    <row r="301" s="134" customFormat="1"/>
    <row r="302" s="134" customFormat="1"/>
    <row r="303" s="134" customFormat="1"/>
    <row r="304" s="134" customFormat="1"/>
    <row r="305" s="134" customFormat="1"/>
    <row r="306" s="134" customFormat="1"/>
    <row r="307" s="134" customFormat="1"/>
    <row r="308" s="134" customFormat="1"/>
    <row r="309" s="134" customFormat="1"/>
    <row r="310" s="134" customFormat="1"/>
    <row r="311" s="134" customFormat="1"/>
    <row r="312" s="134" customFormat="1"/>
    <row r="313" s="134" customFormat="1"/>
    <row r="314" s="134" customFormat="1"/>
    <row r="315" s="134" customFormat="1"/>
    <row r="316" s="134" customFormat="1"/>
    <row r="317" s="134" customFormat="1"/>
    <row r="318" s="134" customFormat="1"/>
    <row r="319" s="134" customFormat="1"/>
    <row r="320" s="134" customFormat="1"/>
    <row r="321" s="134" customFormat="1"/>
    <row r="322" s="134" customFormat="1"/>
    <row r="323" s="134" customFormat="1"/>
    <row r="324" s="134" customFormat="1"/>
    <row r="325" s="134" customFormat="1"/>
    <row r="326" s="134" customFormat="1"/>
    <row r="327" s="134" customFormat="1"/>
    <row r="328" s="134" customFormat="1"/>
    <row r="329" s="134" customFormat="1"/>
    <row r="330" s="134" customFormat="1"/>
    <row r="331" s="134" customFormat="1"/>
    <row r="332" s="134" customFormat="1"/>
    <row r="333" s="134" customFormat="1"/>
    <row r="334" s="134" customFormat="1"/>
    <row r="335" s="134" customFormat="1"/>
    <row r="336" s="134" customFormat="1"/>
    <row r="337" s="134" customFormat="1"/>
    <row r="338" s="134" customFormat="1"/>
    <row r="339" s="134" customFormat="1"/>
    <row r="340" s="134" customFormat="1"/>
    <row r="341" s="134" customFormat="1"/>
    <row r="342" s="134" customFormat="1"/>
    <row r="343" s="134" customFormat="1"/>
    <row r="344" s="134" customFormat="1"/>
    <row r="345" s="134" customFormat="1"/>
    <row r="346" s="134" customFormat="1"/>
    <row r="347" s="134" customFormat="1"/>
    <row r="348" s="134" customFormat="1"/>
    <row r="349" s="134" customFormat="1"/>
    <row r="350" s="134" customFormat="1"/>
    <row r="351" s="134" customFormat="1"/>
    <row r="352" s="134" customFormat="1"/>
    <row r="353" s="134" customFormat="1"/>
    <row r="354" s="134" customFormat="1"/>
    <row r="355" s="134" customFormat="1"/>
    <row r="356" s="134" customFormat="1"/>
    <row r="357" s="134" customFormat="1"/>
    <row r="358" s="134" customFormat="1"/>
    <row r="359" s="134" customFormat="1"/>
    <row r="360" s="134" customFormat="1"/>
    <row r="361" s="134" customFormat="1"/>
    <row r="362" s="134" customFormat="1"/>
    <row r="363" s="134" customFormat="1"/>
    <row r="364" s="134" customFormat="1"/>
    <row r="365" s="134" customFormat="1"/>
    <row r="366" s="134" customFormat="1"/>
    <row r="367" s="134" customFormat="1"/>
    <row r="368" s="134" customFormat="1"/>
    <row r="369" s="134" customFormat="1"/>
    <row r="370" s="134" customFormat="1"/>
    <row r="371" s="134" customFormat="1"/>
    <row r="372" s="134" customFormat="1"/>
    <row r="373" s="134" customFormat="1"/>
    <row r="374" s="134" customFormat="1"/>
    <row r="375" s="134" customFormat="1"/>
    <row r="376" s="134" customFormat="1"/>
    <row r="377" s="134" customFormat="1"/>
    <row r="378" s="134" customFormat="1"/>
    <row r="379" s="134" customFormat="1"/>
    <row r="380" s="134" customFormat="1"/>
    <row r="381" s="134" customFormat="1"/>
    <row r="382" s="134" customFormat="1"/>
    <row r="383" s="134" customFormat="1"/>
    <row r="384" s="134" customFormat="1"/>
    <row r="385" s="134" customFormat="1"/>
    <row r="386" s="134" customFormat="1"/>
    <row r="387" s="134" customFormat="1"/>
    <row r="388" s="134" customFormat="1"/>
    <row r="389" s="134" customFormat="1"/>
    <row r="390" s="134" customFormat="1"/>
    <row r="391" s="134" customFormat="1"/>
    <row r="392" s="134" customFormat="1"/>
    <row r="393" s="134" customFormat="1"/>
    <row r="394" s="134" customFormat="1"/>
    <row r="395" s="134" customFormat="1"/>
    <row r="396" s="134" customFormat="1"/>
    <row r="397" s="134" customFormat="1"/>
    <row r="398" s="134" customFormat="1"/>
    <row r="399" s="134" customFormat="1"/>
    <row r="400" s="134" customFormat="1"/>
    <row r="401" s="134" customFormat="1"/>
    <row r="402" s="134" customFormat="1"/>
    <row r="403" s="134" customFormat="1"/>
    <row r="404" s="134" customFormat="1"/>
    <row r="405" s="134" customFormat="1"/>
    <row r="406" s="134" customFormat="1"/>
    <row r="407" s="134" customFormat="1"/>
    <row r="408" s="134" customFormat="1"/>
    <row r="409" s="134" customFormat="1"/>
    <row r="410" s="134" customFormat="1"/>
    <row r="411" s="134" customFormat="1"/>
    <row r="412" s="134" customFormat="1"/>
    <row r="413" s="134" customFormat="1"/>
    <row r="414" s="134" customFormat="1"/>
    <row r="415" s="134" customFormat="1"/>
    <row r="416" s="134" customFormat="1"/>
    <row r="417" s="134" customFormat="1"/>
    <row r="418" s="134" customFormat="1"/>
    <row r="419" s="134" customFormat="1"/>
    <row r="420" s="134" customFormat="1"/>
    <row r="421" s="134" customFormat="1"/>
    <row r="422" s="134" customFormat="1"/>
    <row r="423" s="134" customFormat="1"/>
    <row r="424" s="134" customFormat="1"/>
    <row r="425" s="134" customFormat="1"/>
    <row r="426" s="134" customFormat="1"/>
    <row r="427" s="134" customFormat="1"/>
    <row r="428" s="134" customFormat="1"/>
    <row r="429" s="134" customFormat="1"/>
    <row r="430" s="134" customFormat="1"/>
    <row r="431" s="134" customFormat="1"/>
    <row r="432" s="134" customFormat="1"/>
    <row r="433" s="134" customFormat="1"/>
    <row r="434" s="134" customFormat="1"/>
    <row r="435" s="134" customFormat="1"/>
    <row r="436" s="134" customFormat="1"/>
    <row r="437" s="134" customFormat="1"/>
    <row r="438" s="134" customFormat="1"/>
    <row r="439" s="134" customFormat="1"/>
    <row r="440" s="134" customFormat="1"/>
    <row r="441" s="134" customFormat="1"/>
    <row r="442" s="134" customFormat="1"/>
    <row r="443" s="134" customFormat="1"/>
    <row r="444" s="134" customFormat="1"/>
    <row r="445" s="134" customFormat="1"/>
    <row r="446" s="134" customFormat="1"/>
    <row r="447" s="134" customFormat="1"/>
    <row r="448" s="134" customFormat="1"/>
    <row r="449" s="134" customFormat="1"/>
    <row r="450" s="134" customFormat="1"/>
    <row r="451" s="134" customFormat="1"/>
    <row r="452" s="134" customFormat="1"/>
    <row r="453" s="134" customFormat="1"/>
    <row r="454" s="134" customFormat="1"/>
    <row r="455" s="134" customFormat="1"/>
    <row r="456" s="134" customFormat="1"/>
    <row r="457" s="134" customFormat="1"/>
    <row r="458" s="134" customFormat="1"/>
    <row r="459" s="134" customFormat="1"/>
    <row r="460" s="134" customFormat="1"/>
    <row r="461" s="134" customFormat="1"/>
    <row r="462" s="134" customFormat="1"/>
  </sheetData>
  <mergeCells count="253">
    <mergeCell ref="D25:G25"/>
    <mergeCell ref="D26:G26"/>
    <mergeCell ref="D27:G27"/>
    <mergeCell ref="D28:G28"/>
    <mergeCell ref="D29:G29"/>
    <mergeCell ref="H36:I36"/>
    <mergeCell ref="B3:F3"/>
    <mergeCell ref="H11:P11"/>
    <mergeCell ref="D21:G21"/>
    <mergeCell ref="D22:G22"/>
    <mergeCell ref="D23:G23"/>
    <mergeCell ref="D24:G24"/>
    <mergeCell ref="D16:G16"/>
    <mergeCell ref="D17:G17"/>
    <mergeCell ref="D18:G18"/>
    <mergeCell ref="D19:G19"/>
    <mergeCell ref="D20:G20"/>
    <mergeCell ref="D37:G37"/>
    <mergeCell ref="D38:G38"/>
    <mergeCell ref="D39:G39"/>
    <mergeCell ref="D40:G40"/>
    <mergeCell ref="D41:G41"/>
    <mergeCell ref="D30:G30"/>
    <mergeCell ref="D31:G31"/>
    <mergeCell ref="D35:G35"/>
    <mergeCell ref="H35:I35"/>
    <mergeCell ref="D36:G36"/>
    <mergeCell ref="H37:I37"/>
    <mergeCell ref="H38:I38"/>
    <mergeCell ref="H39:I39"/>
    <mergeCell ref="H40:I40"/>
    <mergeCell ref="H41:I41"/>
    <mergeCell ref="H42:I42"/>
    <mergeCell ref="H43:I43"/>
    <mergeCell ref="H45:I45"/>
    <mergeCell ref="D58:G58"/>
    <mergeCell ref="H44:I44"/>
    <mergeCell ref="H46:I46"/>
    <mergeCell ref="H47:I47"/>
    <mergeCell ref="H48:I48"/>
    <mergeCell ref="H49:I49"/>
    <mergeCell ref="D46:G46"/>
    <mergeCell ref="D47:G47"/>
    <mergeCell ref="D48:G48"/>
    <mergeCell ref="D49:G49"/>
    <mergeCell ref="D42:G42"/>
    <mergeCell ref="D43:G43"/>
    <mergeCell ref="D45:G45"/>
    <mergeCell ref="D44:G44"/>
    <mergeCell ref="D59:G59"/>
    <mergeCell ref="D60:G60"/>
    <mergeCell ref="D61:G61"/>
    <mergeCell ref="D62:G62"/>
    <mergeCell ref="H50:I50"/>
    <mergeCell ref="D54:G54"/>
    <mergeCell ref="D55:G55"/>
    <mergeCell ref="D56:G56"/>
    <mergeCell ref="D57:G57"/>
    <mergeCell ref="D51:G51"/>
    <mergeCell ref="D50:G50"/>
    <mergeCell ref="D67:G67"/>
    <mergeCell ref="D68:G68"/>
    <mergeCell ref="D69:G69"/>
    <mergeCell ref="D70:G70"/>
    <mergeCell ref="D73:G73"/>
    <mergeCell ref="D65:G65"/>
    <mergeCell ref="D63:G63"/>
    <mergeCell ref="D64:G64"/>
    <mergeCell ref="D66:G66"/>
    <mergeCell ref="D79:G79"/>
    <mergeCell ref="D80:G80"/>
    <mergeCell ref="D81:G81"/>
    <mergeCell ref="D82:G82"/>
    <mergeCell ref="D74:G74"/>
    <mergeCell ref="D75:G75"/>
    <mergeCell ref="D76:G76"/>
    <mergeCell ref="D77:G77"/>
    <mergeCell ref="D78:G78"/>
    <mergeCell ref="D88:G88"/>
    <mergeCell ref="D89:G89"/>
    <mergeCell ref="H96:P96"/>
    <mergeCell ref="D101:G101"/>
    <mergeCell ref="D102:G102"/>
    <mergeCell ref="D83:G83"/>
    <mergeCell ref="D84:G84"/>
    <mergeCell ref="D85:G85"/>
    <mergeCell ref="D86:G86"/>
    <mergeCell ref="D87:G87"/>
    <mergeCell ref="D108:G108"/>
    <mergeCell ref="D109:G109"/>
    <mergeCell ref="D110:G110"/>
    <mergeCell ref="D111:G111"/>
    <mergeCell ref="D103:G103"/>
    <mergeCell ref="D104:G104"/>
    <mergeCell ref="D105:G105"/>
    <mergeCell ref="D106:G106"/>
    <mergeCell ref="D107:G107"/>
    <mergeCell ref="D120:G120"/>
    <mergeCell ref="H120:I120"/>
    <mergeCell ref="D121:G121"/>
    <mergeCell ref="D122:G122"/>
    <mergeCell ref="D123:G123"/>
    <mergeCell ref="D112:G112"/>
    <mergeCell ref="D113:G113"/>
    <mergeCell ref="D114:G114"/>
    <mergeCell ref="D115:G115"/>
    <mergeCell ref="D116:G116"/>
    <mergeCell ref="H121:I121"/>
    <mergeCell ref="H122:I122"/>
    <mergeCell ref="H123:I123"/>
    <mergeCell ref="H129:I129"/>
    <mergeCell ref="H130:I130"/>
    <mergeCell ref="H131:I131"/>
    <mergeCell ref="D129:G129"/>
    <mergeCell ref="D130:G130"/>
    <mergeCell ref="D131:G131"/>
    <mergeCell ref="D132:G132"/>
    <mergeCell ref="D124:G124"/>
    <mergeCell ref="D125:G125"/>
    <mergeCell ref="D126:G126"/>
    <mergeCell ref="D127:G127"/>
    <mergeCell ref="D128:G128"/>
    <mergeCell ref="H124:I124"/>
    <mergeCell ref="H125:I125"/>
    <mergeCell ref="H126:I126"/>
    <mergeCell ref="H127:I127"/>
    <mergeCell ref="H128:I128"/>
    <mergeCell ref="D140:G140"/>
    <mergeCell ref="D141:G141"/>
    <mergeCell ref="D142:G142"/>
    <mergeCell ref="D143:G143"/>
    <mergeCell ref="D144:G144"/>
    <mergeCell ref="H132:I132"/>
    <mergeCell ref="H133:I133"/>
    <mergeCell ref="H134:I134"/>
    <mergeCell ref="H135:I135"/>
    <mergeCell ref="D139:G139"/>
    <mergeCell ref="D133:G133"/>
    <mergeCell ref="D134:G134"/>
    <mergeCell ref="D135:G135"/>
    <mergeCell ref="D136:G136"/>
    <mergeCell ref="D149:G149"/>
    <mergeCell ref="D150:G150"/>
    <mergeCell ref="D151:G151"/>
    <mergeCell ref="D152:G152"/>
    <mergeCell ref="D153:G153"/>
    <mergeCell ref="D145:G145"/>
    <mergeCell ref="D146:G146"/>
    <mergeCell ref="D147:G147"/>
    <mergeCell ref="D148:G148"/>
    <mergeCell ref="D161:G161"/>
    <mergeCell ref="D162:G162"/>
    <mergeCell ref="D163:G163"/>
    <mergeCell ref="D164:G164"/>
    <mergeCell ref="D165:G165"/>
    <mergeCell ref="D154:G154"/>
    <mergeCell ref="D155:G155"/>
    <mergeCell ref="D158:G158"/>
    <mergeCell ref="D159:G159"/>
    <mergeCell ref="D160:G160"/>
    <mergeCell ref="D170:G170"/>
    <mergeCell ref="D171:G171"/>
    <mergeCell ref="D172:G172"/>
    <mergeCell ref="D173:G173"/>
    <mergeCell ref="D174:G174"/>
    <mergeCell ref="D166:G166"/>
    <mergeCell ref="D167:G167"/>
    <mergeCell ref="D168:G168"/>
    <mergeCell ref="D169:G169"/>
    <mergeCell ref="D190:G190"/>
    <mergeCell ref="D191:G191"/>
    <mergeCell ref="D192:G192"/>
    <mergeCell ref="D193:G193"/>
    <mergeCell ref="D194:G194"/>
    <mergeCell ref="H181:P181"/>
    <mergeCell ref="D186:G186"/>
    <mergeCell ref="D187:G187"/>
    <mergeCell ref="D188:G188"/>
    <mergeCell ref="D189:G189"/>
    <mergeCell ref="D199:G199"/>
    <mergeCell ref="D200:G200"/>
    <mergeCell ref="D201:G201"/>
    <mergeCell ref="D205:G205"/>
    <mergeCell ref="H205:I205"/>
    <mergeCell ref="D195:G195"/>
    <mergeCell ref="D196:G196"/>
    <mergeCell ref="D197:G197"/>
    <mergeCell ref="D198:G198"/>
    <mergeCell ref="D219:G219"/>
    <mergeCell ref="D211:G211"/>
    <mergeCell ref="D212:G212"/>
    <mergeCell ref="D213:G213"/>
    <mergeCell ref="D214:G214"/>
    <mergeCell ref="D206:G206"/>
    <mergeCell ref="D207:G207"/>
    <mergeCell ref="D208:G208"/>
    <mergeCell ref="D209:G209"/>
    <mergeCell ref="D210:G210"/>
    <mergeCell ref="H219:I219"/>
    <mergeCell ref="H220:I220"/>
    <mergeCell ref="D224:G224"/>
    <mergeCell ref="D225:G225"/>
    <mergeCell ref="D226:G226"/>
    <mergeCell ref="D220:G220"/>
    <mergeCell ref="D221:G221"/>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D215:G215"/>
    <mergeCell ref="D216:G216"/>
    <mergeCell ref="D217:G217"/>
    <mergeCell ref="D218:G218"/>
    <mergeCell ref="D232:G232"/>
    <mergeCell ref="D233:G233"/>
    <mergeCell ref="D234:G234"/>
    <mergeCell ref="D235:G235"/>
    <mergeCell ref="D227:G227"/>
    <mergeCell ref="D228:G228"/>
    <mergeCell ref="D229:G229"/>
    <mergeCell ref="D230:G230"/>
    <mergeCell ref="D231:G231"/>
    <mergeCell ref="D243:G243"/>
    <mergeCell ref="D244:G244"/>
    <mergeCell ref="D245:G245"/>
    <mergeCell ref="D246:G246"/>
    <mergeCell ref="D247:G247"/>
    <mergeCell ref="D236:G236"/>
    <mergeCell ref="D237:G237"/>
    <mergeCell ref="D238:G238"/>
    <mergeCell ref="D239:G239"/>
    <mergeCell ref="D240:G240"/>
    <mergeCell ref="D257:G257"/>
    <mergeCell ref="D258:G258"/>
    <mergeCell ref="D259:G259"/>
    <mergeCell ref="D252:G252"/>
    <mergeCell ref="D253:G253"/>
    <mergeCell ref="D254:G254"/>
    <mergeCell ref="D255:G255"/>
    <mergeCell ref="D256:G256"/>
    <mergeCell ref="D248:G248"/>
    <mergeCell ref="D249:G249"/>
    <mergeCell ref="D250:G250"/>
    <mergeCell ref="D251:G251"/>
  </mergeCells>
  <dataValidations count="7">
    <dataValidation type="decimal" operator="greaterThanOrEqual" allowBlank="1" showDropDown="1" showErrorMessage="1" errorTitle="Invalid Assumption" error="Assumption must be a value greater than or equal to zero." sqref="J244:J258 J225:J239 J187:J201 J159:J173 J140:J154 J102:J116 J74:J88 J55:J69 J17:J31" xr:uid="{00000000-0002-0000-1900-000000000000}">
      <formula1>0</formula1>
    </dataValidation>
    <dataValidation type="custom" showErrorMessage="1" errorTitle="Invalid Assumption" error="Assumption must be a number." sqref="J206:J220 J121:J135 J36:J50" xr:uid="{00000000-0002-0000-1900-000001000000}">
      <formula1>NOT(ISERROR(J36/1))</formula1>
    </dataValidation>
    <dataValidation type="whole" showDropDown="1" showErrorMessage="1" errorTitle="Drop Down Box Cell Link" error="The value in a drop down box cell link must be a whole number within the control's lookup range rows." sqref="I187:I201 I102:I116 I17:I31" xr:uid="{00000000-0002-0000-1900-000002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121:D135 D36:D50 D206:D220" xr:uid="{00000000-0002-0000-1900-000003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140:D154 D55:D69 D225:D239" xr:uid="{00000000-0002-0000-1900-000004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D159:D173 D74:D88 D244:D258" xr:uid="{00000000-0002-0000-1900-000005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187:G201 D102:G116 D17:G31" xr:uid="{00000000-0002-0000-1900-000006000000}">
      <formula1>1</formula1>
      <formula2>ROWS(LU_FLU_RECC_PRICES_GROUP_A)</formula2>
    </dataValidation>
  </dataValidations>
  <hyperlinks>
    <hyperlink ref="A4" location="$B$5" tooltip="Go to Top of Sheet" display="$B$5" xr:uid="{00000000-0004-0000-1900-000000000000}"/>
    <hyperlink ref="B4" location="HL_Sheet_Main_41" tooltip="Go to Previous Sheet" display="HL_Sheet_Main_41" xr:uid="{00000000-0004-0000-1900-000001000000}"/>
    <hyperlink ref="C4" location="HL_Sheet_Main_10" tooltip="Go to Next Sheet" display="HL_Sheet_Main_10" xr:uid="{00000000-0004-0000-1900-000002000000}"/>
    <hyperlink ref="B3" location="HL_Home" tooltip="Go to Table of Contents" display="HL_Home" xr:uid="{00000000-0004-0000-1900-000003000000}"/>
    <hyperlink ref="D4" location="HL_Err_Chk" tooltip="Go to Error Checks" display="HL_Err_Chk" xr:uid="{00000000-0004-0000-1900-000004000000}"/>
    <hyperlink ref="E4" location="HL_Sens_Chk" tooltip="Go to Sensitivity Checks" display="HL_Sens_Chk" xr:uid="{00000000-0004-0000-1900-000005000000}"/>
    <hyperlink ref="F4" location="HL_Alt_Chk" tooltip="Go to Alert Checks" display="HL_Alt_Chk" xr:uid="{00000000-0004-0000-1900-000006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1889" r:id="rId4" name="bpmDropDownFLU164">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1061890" r:id="rId5" name="bpmDropDownFLU177">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1061891" r:id="rId6" name="bpmDropDownFLU178">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061892" r:id="rId7" name="bpmDropDownFLU227">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1061893" r:id="rId8" name="bpmDropDownFLU228">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61894" r:id="rId9" name="bpmDropDownFLU229">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061895" r:id="rId10" name="bpmDropDownFLU230">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061896" r:id="rId11" name="bpmDropDownFLU232">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061898" r:id="rId12" name="bpmDropDownFLU234">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061899" r:id="rId13" name="bpmDropDownFLU235">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61900" r:id="rId14" name="bpmDropDownFLU236">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061901" r:id="rId15" name="bpmDropDownFLU237">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061902" r:id="rId16" name="bpmDropDownFLU238">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061903" r:id="rId17" name="bpmDropDownFLU239">
              <controlPr defaultSize="0" autoFill="0" autoPict="0">
                <anchor moveWithCells="1">
                  <from>
                    <xdr:col>3</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061904" r:id="rId18" name="bpmDropDownFLU240">
              <controlPr defaultSize="0" autoFill="0" autoPict="0">
                <anchor moveWithCells="1">
                  <from>
                    <xdr:col>3</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061905" r:id="rId19" name="bpmDropDownFLU241">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1061906" r:id="rId20" name="bpmDropDownFLU256">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061907" r:id="rId21" name="bpmDropDownFLU257">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061908" r:id="rId22" name="bpmDropDownFLU258">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061909" r:id="rId23" name="bpmDropDownFLU259">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1061910" r:id="rId24" name="bpmDropDownFLU260">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1061911" r:id="rId25" name="bpmDropDownFLU261">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1061912" r:id="rId26" name="bpmDropDownFLU262">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1061914" r:id="rId27" name="bpmDropDownFLU264">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1061915" r:id="rId28" name="bpmDropDownFLU265">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1061916" r:id="rId29" name="bpmDropDownFLU266">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1061917" r:id="rId30" name="bpmDropDownFLU267">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1061918" r:id="rId31" name="bpmDropDownFLU272">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1061919" r:id="rId32" name="bpmDropDownFLU273">
              <controlPr defaultSize="0" autoFill="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1061920" r:id="rId33" name="bpmDropDownFLU274">
              <controlPr defaultSize="0" autoFill="0" autoPict="0">
                <anchor moveWithCells="1">
                  <from>
                    <xdr:col>8</xdr:col>
                    <xdr:colOff>0</xdr:colOff>
                    <xdr:row>30</xdr:row>
                    <xdr:rowOff>0</xdr:rowOff>
                  </from>
                  <to>
                    <xdr:col>9</xdr:col>
                    <xdr:colOff>0</xdr:colOff>
                    <xdr:row>31</xdr:row>
                    <xdr:rowOff>0</xdr:rowOff>
                  </to>
                </anchor>
              </controlPr>
            </control>
          </mc:Choice>
        </mc:AlternateContent>
        <mc:AlternateContent xmlns:mc="http://schemas.openxmlformats.org/markup-compatibility/2006">
          <mc:Choice Requires="x14">
            <control shapeId="1061937" r:id="rId34" name="bpmDropDownFLU304">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061938" r:id="rId35" name="bpmDropDownFLU305">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061939" r:id="rId36" name="bpmDropDownFLU306">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061940" r:id="rId37" name="bpmDropDownFLU307">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061941" r:id="rId38" name="bpmDropDownFLU308">
              <controlPr defaultSize="0" autoFill="0" autoPict="0">
                <anchor moveWithCells="1">
                  <from>
                    <xdr:col>3</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061942" r:id="rId39" name="bpmDropDownFLU309">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061943" r:id="rId40" name="bpmDropDownFLU310">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061944" r:id="rId41" name="bpmDropDownFLU311">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061946" r:id="rId42" name="bpmDropDownFLU313">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061947" r:id="rId43" name="bpmDropDownFLU314">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061948" r:id="rId44" name="bpmDropDownFLU315">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061949" r:id="rId45" name="bpmDropDownFLU316">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061950" r:id="rId46" name="bpmDropDownFLU317">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061951" r:id="rId47" name="bpmDropDownFLU318">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061952" r:id="rId48" name="bpmDropDownFLU319">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061953" r:id="rId49" name="bpmDropDownFLU320">
              <controlPr defaultSize="0" autoFill="0" autoPict="0">
                <anchor moveWithCells="1">
                  <from>
                    <xdr:col>3</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061954" r:id="rId50" name="bpmDropDownFLU321">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061955" r:id="rId51" name="bpmDropDownFLU322">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061956" r:id="rId52" name="bpmDropDownFLU323">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061957" r:id="rId53" name="bpmDropDownFLU324">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061958" r:id="rId54" name="bpmDropDownFLU325">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061959" r:id="rId55" name="bpmDropDownFLU326">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061960" r:id="rId56" name="bpmDropDownFLU327">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061962" r:id="rId57" name="bpmDropDownFLU329">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061963" r:id="rId58" name="bpmDropDownFLU330">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061964" r:id="rId59" name="bpmDropDownFLU331">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061965" r:id="rId60" name="bpmDropDownFLU332">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061966" r:id="rId61" name="bpmDropDownFLU333">
              <controlPr defaultSize="0" autoFill="0" autoPict="0">
                <anchor moveWithCells="1">
                  <from>
                    <xdr:col>3</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061967" r:id="rId62" name="bpmDropDownFLU334">
              <controlPr defaultSize="0" autoFill="0" autoPict="0">
                <anchor moveWithCells="1">
                  <from>
                    <xdr:col>3</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061968" r:id="rId63" name="bpmDropDownFLU335">
              <controlPr defaultSize="0" autoFill="0" autoPict="0">
                <anchor moveWithCells="1">
                  <from>
                    <xdr:col>3</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061969" r:id="rId64" name="bpmDropDownFLU336">
              <controlPr defaultSize="0" autoFill="0" autoPict="0">
                <anchor moveWithCells="1">
                  <from>
                    <xdr:col>3</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061970" r:id="rId65" name="bpmDropDownFLU337">
              <controlPr defaultSize="0" autoFill="0" autoPict="0">
                <anchor moveWithCells="1">
                  <from>
                    <xdr:col>3</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061971" r:id="rId66" name="bpmDropDownFLU338">
              <controlPr defaultSize="0" autoFill="0" autoPict="0">
                <anchor moveWithCells="1">
                  <from>
                    <xdr:col>3</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061972" r:id="rId67" name="bpmDropDownFLU339">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061973" r:id="rId68" name="bpmDropDownFLU340">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061974" r:id="rId69" name="bpmDropDownFLU341">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061975" r:id="rId70" name="bpmDropDownFLU342">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061976" r:id="rId71" name="bpmDropDownFLU361">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061978" r:id="rId72" name="bpmDropDownFLU363">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061979" r:id="rId73" name="bpmDropDownFLU364">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061980" r:id="rId74" name="bpmDropDownFLU384">
              <controlPr defaultSize="0" autoFill="0" autoPict="0">
                <anchor moveWithCells="1">
                  <from>
                    <xdr:col>3</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061981" r:id="rId75" name="bpmDropDownFLU388">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061982" r:id="rId76" name="bpmDropDownFLU389">
              <controlPr defaultSize="0" autoFill="0" autoPict="0">
                <anchor moveWithCells="1">
                  <from>
                    <xdr:col>3</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1061983" r:id="rId77" name="bpmDropDownFLU397">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061984" r:id="rId78" name="bpmDropDownFLU398">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061985" r:id="rId79" name="bpmDropDownFLU417">
              <controlPr defaultSize="0" autoFill="0" autoPict="0">
                <anchor moveWithCells="1">
                  <from>
                    <xdr:col>3</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061986" r:id="rId80" name="bpmDropDownFLU429">
              <controlPr defaultSize="0" autoFill="0" autoPict="0">
                <anchor moveWithCells="1">
                  <from>
                    <xdr:col>3</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061987" r:id="rId81" name="bpmDropDownFLU430">
              <controlPr defaultSize="0" autoFill="0" autoPict="0">
                <anchor moveWithCells="1">
                  <from>
                    <xdr:col>3</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061988" r:id="rId82" name="bpmDropDownFLU431">
              <controlPr defaultSize="0" autoFill="0" autoPict="0">
                <anchor moveWithCells="1">
                  <from>
                    <xdr:col>3</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061989" r:id="rId83" name="bpmDropDownFLU432">
              <controlPr defaultSize="0" autoFill="0" autoPict="0">
                <anchor moveWithCells="1">
                  <from>
                    <xdr:col>3</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061990" r:id="rId84" name="bpmDropDownFLU433">
              <controlPr defaultSize="0" autoFill="0" autoPict="0">
                <anchor moveWithCells="1">
                  <from>
                    <xdr:col>3</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061991" r:id="rId85" name="bpmDropDownFLU434">
              <controlPr defaultSize="0" autoFill="0" autoPict="0">
                <anchor moveWithCells="1">
                  <from>
                    <xdr:col>3</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061992" r:id="rId86" name="bpmDropDownFLU435">
              <controlPr defaultSize="0" autoFill="0" autoPict="0">
                <anchor moveWithCells="1">
                  <from>
                    <xdr:col>3</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061994" r:id="rId87" name="bpmDropDownFLU437">
              <controlPr defaultSize="0" autoFill="0" autoPict="0">
                <anchor moveWithCells="1">
                  <from>
                    <xdr:col>3</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061995" r:id="rId88" name="bpmDropDownFLU438">
              <controlPr defaultSize="0" autoFill="0" autoPict="0">
                <anchor moveWithCells="1">
                  <from>
                    <xdr:col>3</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061996" r:id="rId89" name="bpmDropDownFLU439">
              <controlPr defaultSize="0" autoFill="0" autoPict="0">
                <anchor moveWithCells="1">
                  <from>
                    <xdr:col>3</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061997" r:id="rId90" name="bpmDropDownFLU440">
              <controlPr defaultSize="0" autoFill="0" autoPict="0">
                <anchor moveWithCells="1">
                  <from>
                    <xdr:col>3</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061998" r:id="rId91" name="bpmDropDownFLU441">
              <controlPr defaultSize="0" autoFill="0" autoPict="0">
                <anchor moveWithCells="1">
                  <from>
                    <xdr:col>3</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061999" r:id="rId92" name="bpmDropDownFLU442">
              <controlPr defaultSize="0" autoFill="0" autoPict="0">
                <anchor moveWithCells="1">
                  <from>
                    <xdr:col>3</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062000" r:id="rId93" name="bpmDropDownFLU443">
              <controlPr defaultSize="0" autoFill="0" autoPict="0">
                <anchor moveWithCells="1">
                  <from>
                    <xdr:col>3</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062001" r:id="rId94" name="bpmDropDownFLU444">
              <controlPr defaultSize="0" autoFill="0" autoPict="0">
                <anchor moveWithCells="1">
                  <from>
                    <xdr:col>8</xdr:col>
                    <xdr:colOff>0</xdr:colOff>
                    <xdr:row>186</xdr:row>
                    <xdr:rowOff>0</xdr:rowOff>
                  </from>
                  <to>
                    <xdr:col>9</xdr:col>
                    <xdr:colOff>0</xdr:colOff>
                    <xdr:row>187</xdr:row>
                    <xdr:rowOff>0</xdr:rowOff>
                  </to>
                </anchor>
              </controlPr>
            </control>
          </mc:Choice>
        </mc:AlternateContent>
        <mc:AlternateContent xmlns:mc="http://schemas.openxmlformats.org/markup-compatibility/2006">
          <mc:Choice Requires="x14">
            <control shapeId="1062002" r:id="rId95" name="bpmDropDownFLU445">
              <controlPr defaultSize="0" autoFill="0" autoPict="0">
                <anchor moveWithCells="1">
                  <from>
                    <xdr:col>8</xdr:col>
                    <xdr:colOff>0</xdr:colOff>
                    <xdr:row>187</xdr:row>
                    <xdr:rowOff>0</xdr:rowOff>
                  </from>
                  <to>
                    <xdr:col>9</xdr:col>
                    <xdr:colOff>0</xdr:colOff>
                    <xdr:row>188</xdr:row>
                    <xdr:rowOff>0</xdr:rowOff>
                  </to>
                </anchor>
              </controlPr>
            </control>
          </mc:Choice>
        </mc:AlternateContent>
        <mc:AlternateContent xmlns:mc="http://schemas.openxmlformats.org/markup-compatibility/2006">
          <mc:Choice Requires="x14">
            <control shapeId="1062003" r:id="rId96" name="bpmDropDownFLU446">
              <controlPr defaultSize="0" autoFill="0" autoPict="0">
                <anchor moveWithCells="1">
                  <from>
                    <xdr:col>8</xdr:col>
                    <xdr:colOff>0</xdr:colOff>
                    <xdr:row>188</xdr:row>
                    <xdr:rowOff>0</xdr:rowOff>
                  </from>
                  <to>
                    <xdr:col>9</xdr:col>
                    <xdr:colOff>0</xdr:colOff>
                    <xdr:row>189</xdr:row>
                    <xdr:rowOff>0</xdr:rowOff>
                  </to>
                </anchor>
              </controlPr>
            </control>
          </mc:Choice>
        </mc:AlternateContent>
        <mc:AlternateContent xmlns:mc="http://schemas.openxmlformats.org/markup-compatibility/2006">
          <mc:Choice Requires="x14">
            <control shapeId="1062004" r:id="rId97" name="bpmDropDownFLU447">
              <controlPr defaultSize="0" autoFill="0" autoPict="0">
                <anchor moveWithCells="1">
                  <from>
                    <xdr:col>8</xdr:col>
                    <xdr:colOff>0</xdr:colOff>
                    <xdr:row>189</xdr:row>
                    <xdr:rowOff>0</xdr:rowOff>
                  </from>
                  <to>
                    <xdr:col>9</xdr:col>
                    <xdr:colOff>0</xdr:colOff>
                    <xdr:row>190</xdr:row>
                    <xdr:rowOff>0</xdr:rowOff>
                  </to>
                </anchor>
              </controlPr>
            </control>
          </mc:Choice>
        </mc:AlternateContent>
        <mc:AlternateContent xmlns:mc="http://schemas.openxmlformats.org/markup-compatibility/2006">
          <mc:Choice Requires="x14">
            <control shapeId="1062005" r:id="rId98" name="bpmDropDownFLU448">
              <controlPr defaultSize="0" autoFill="0" autoPict="0">
                <anchor moveWithCells="1">
                  <from>
                    <xdr:col>8</xdr:col>
                    <xdr:colOff>0</xdr:colOff>
                    <xdr:row>190</xdr:row>
                    <xdr:rowOff>0</xdr:rowOff>
                  </from>
                  <to>
                    <xdr:col>9</xdr:col>
                    <xdr:colOff>0</xdr:colOff>
                    <xdr:row>191</xdr:row>
                    <xdr:rowOff>0</xdr:rowOff>
                  </to>
                </anchor>
              </controlPr>
            </control>
          </mc:Choice>
        </mc:AlternateContent>
        <mc:AlternateContent xmlns:mc="http://schemas.openxmlformats.org/markup-compatibility/2006">
          <mc:Choice Requires="x14">
            <control shapeId="1062006" r:id="rId99" name="bpmDropDownFLU449">
              <controlPr defaultSize="0" autoFill="0" autoPict="0">
                <anchor moveWithCells="1">
                  <from>
                    <xdr:col>8</xdr:col>
                    <xdr:colOff>0</xdr:colOff>
                    <xdr:row>191</xdr:row>
                    <xdr:rowOff>0</xdr:rowOff>
                  </from>
                  <to>
                    <xdr:col>9</xdr:col>
                    <xdr:colOff>0</xdr:colOff>
                    <xdr:row>192</xdr:row>
                    <xdr:rowOff>0</xdr:rowOff>
                  </to>
                </anchor>
              </controlPr>
            </control>
          </mc:Choice>
        </mc:AlternateContent>
        <mc:AlternateContent xmlns:mc="http://schemas.openxmlformats.org/markup-compatibility/2006">
          <mc:Choice Requires="x14">
            <control shapeId="1062007" r:id="rId100" name="bpmDropDownFLU450">
              <controlPr defaultSize="0" autoFill="0" autoPict="0">
                <anchor moveWithCells="1">
                  <from>
                    <xdr:col>8</xdr:col>
                    <xdr:colOff>0</xdr:colOff>
                    <xdr:row>192</xdr:row>
                    <xdr:rowOff>0</xdr:rowOff>
                  </from>
                  <to>
                    <xdr:col>9</xdr:col>
                    <xdr:colOff>0</xdr:colOff>
                    <xdr:row>193</xdr:row>
                    <xdr:rowOff>0</xdr:rowOff>
                  </to>
                </anchor>
              </controlPr>
            </control>
          </mc:Choice>
        </mc:AlternateContent>
        <mc:AlternateContent xmlns:mc="http://schemas.openxmlformats.org/markup-compatibility/2006">
          <mc:Choice Requires="x14">
            <control shapeId="1062008" r:id="rId101" name="bpmDropDownFLU451">
              <controlPr defaultSize="0" autoFill="0" autoPict="0">
                <anchor moveWithCells="1">
                  <from>
                    <xdr:col>8</xdr:col>
                    <xdr:colOff>0</xdr:colOff>
                    <xdr:row>193</xdr:row>
                    <xdr:rowOff>0</xdr:rowOff>
                  </from>
                  <to>
                    <xdr:col>9</xdr:col>
                    <xdr:colOff>0</xdr:colOff>
                    <xdr:row>194</xdr:row>
                    <xdr:rowOff>0</xdr:rowOff>
                  </to>
                </anchor>
              </controlPr>
            </control>
          </mc:Choice>
        </mc:AlternateContent>
        <mc:AlternateContent xmlns:mc="http://schemas.openxmlformats.org/markup-compatibility/2006">
          <mc:Choice Requires="x14">
            <control shapeId="1062010" r:id="rId102" name="bpmDropDownFLU453">
              <controlPr defaultSize="0" autoFill="0" autoPict="0">
                <anchor moveWithCells="1">
                  <from>
                    <xdr:col>8</xdr:col>
                    <xdr:colOff>0</xdr:colOff>
                    <xdr:row>194</xdr:row>
                    <xdr:rowOff>0</xdr:rowOff>
                  </from>
                  <to>
                    <xdr:col>9</xdr:col>
                    <xdr:colOff>0</xdr:colOff>
                    <xdr:row>195</xdr:row>
                    <xdr:rowOff>0</xdr:rowOff>
                  </to>
                </anchor>
              </controlPr>
            </control>
          </mc:Choice>
        </mc:AlternateContent>
        <mc:AlternateContent xmlns:mc="http://schemas.openxmlformats.org/markup-compatibility/2006">
          <mc:Choice Requires="x14">
            <control shapeId="1062011" r:id="rId103" name="bpmDropDownFLU454">
              <controlPr defaultSize="0" autoFill="0" autoPict="0">
                <anchor moveWithCells="1">
                  <from>
                    <xdr:col>8</xdr:col>
                    <xdr:colOff>0</xdr:colOff>
                    <xdr:row>195</xdr:row>
                    <xdr:rowOff>0</xdr:rowOff>
                  </from>
                  <to>
                    <xdr:col>9</xdr:col>
                    <xdr:colOff>0</xdr:colOff>
                    <xdr:row>196</xdr:row>
                    <xdr:rowOff>0</xdr:rowOff>
                  </to>
                </anchor>
              </controlPr>
            </control>
          </mc:Choice>
        </mc:AlternateContent>
        <mc:AlternateContent xmlns:mc="http://schemas.openxmlformats.org/markup-compatibility/2006">
          <mc:Choice Requires="x14">
            <control shapeId="1062012" r:id="rId104" name="bpmDropDownFLU455">
              <controlPr defaultSize="0" autoFill="0" autoPict="0">
                <anchor moveWithCells="1">
                  <from>
                    <xdr:col>8</xdr:col>
                    <xdr:colOff>0</xdr:colOff>
                    <xdr:row>196</xdr:row>
                    <xdr:rowOff>0</xdr:rowOff>
                  </from>
                  <to>
                    <xdr:col>9</xdr:col>
                    <xdr:colOff>0</xdr:colOff>
                    <xdr:row>197</xdr:row>
                    <xdr:rowOff>0</xdr:rowOff>
                  </to>
                </anchor>
              </controlPr>
            </control>
          </mc:Choice>
        </mc:AlternateContent>
        <mc:AlternateContent xmlns:mc="http://schemas.openxmlformats.org/markup-compatibility/2006">
          <mc:Choice Requires="x14">
            <control shapeId="1062013" r:id="rId105" name="bpmDropDownFLU456">
              <controlPr defaultSize="0" autoFill="0" autoPict="0">
                <anchor moveWithCells="1">
                  <from>
                    <xdr:col>8</xdr:col>
                    <xdr:colOff>0</xdr:colOff>
                    <xdr:row>197</xdr:row>
                    <xdr:rowOff>0</xdr:rowOff>
                  </from>
                  <to>
                    <xdr:col>9</xdr:col>
                    <xdr:colOff>0</xdr:colOff>
                    <xdr:row>198</xdr:row>
                    <xdr:rowOff>0</xdr:rowOff>
                  </to>
                </anchor>
              </controlPr>
            </control>
          </mc:Choice>
        </mc:AlternateContent>
        <mc:AlternateContent xmlns:mc="http://schemas.openxmlformats.org/markup-compatibility/2006">
          <mc:Choice Requires="x14">
            <control shapeId="1062014" r:id="rId106" name="bpmDropDownFLU457">
              <controlPr defaultSize="0" autoFill="0" autoPict="0">
                <anchor moveWithCells="1">
                  <from>
                    <xdr:col>8</xdr:col>
                    <xdr:colOff>0</xdr:colOff>
                    <xdr:row>198</xdr:row>
                    <xdr:rowOff>0</xdr:rowOff>
                  </from>
                  <to>
                    <xdr:col>9</xdr:col>
                    <xdr:colOff>0</xdr:colOff>
                    <xdr:row>199</xdr:row>
                    <xdr:rowOff>0</xdr:rowOff>
                  </to>
                </anchor>
              </controlPr>
            </control>
          </mc:Choice>
        </mc:AlternateContent>
        <mc:AlternateContent xmlns:mc="http://schemas.openxmlformats.org/markup-compatibility/2006">
          <mc:Choice Requires="x14">
            <control shapeId="1062015" r:id="rId107" name="bpmDropDownFLU458">
              <controlPr defaultSize="0" autoFill="0" autoPict="0">
                <anchor moveWithCells="1">
                  <from>
                    <xdr:col>8</xdr:col>
                    <xdr:colOff>0</xdr:colOff>
                    <xdr:row>199</xdr:row>
                    <xdr:rowOff>0</xdr:rowOff>
                  </from>
                  <to>
                    <xdr:col>9</xdr:col>
                    <xdr:colOff>0</xdr:colOff>
                    <xdr:row>200</xdr:row>
                    <xdr:rowOff>0</xdr:rowOff>
                  </to>
                </anchor>
              </controlPr>
            </control>
          </mc:Choice>
        </mc:AlternateContent>
        <mc:AlternateContent xmlns:mc="http://schemas.openxmlformats.org/markup-compatibility/2006">
          <mc:Choice Requires="x14">
            <control shapeId="1062016" r:id="rId108" name="bpmDropDownFLU459">
              <controlPr defaultSize="0" autoFill="0" autoPict="0">
                <anchor moveWithCells="1">
                  <from>
                    <xdr:col>8</xdr:col>
                    <xdr:colOff>0</xdr:colOff>
                    <xdr:row>200</xdr:row>
                    <xdr:rowOff>0</xdr:rowOff>
                  </from>
                  <to>
                    <xdr:col>9</xdr:col>
                    <xdr:colOff>0</xdr:colOff>
                    <xdr:row>201</xdr:row>
                    <xdr:rowOff>0</xdr:rowOff>
                  </to>
                </anchor>
              </controlPr>
            </control>
          </mc:Choice>
        </mc:AlternateContent>
        <mc:AlternateContent xmlns:mc="http://schemas.openxmlformats.org/markup-compatibility/2006">
          <mc:Choice Requires="x14">
            <control shapeId="1062017" r:id="rId109" name="bpmDropDownFLU460">
              <controlPr defaultSize="0" autoFill="0" autoPict="0">
                <anchor moveWithCells="1">
                  <from>
                    <xdr:col>3</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062018" r:id="rId110" name="bpmDropDownFLU461">
              <controlPr defaultSize="0" autoFill="0" autoPict="0">
                <anchor moveWithCells="1">
                  <from>
                    <xdr:col>3</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062019" r:id="rId111" name="bpmDropDownFLU462">
              <controlPr defaultSize="0" autoFill="0" autoPict="0">
                <anchor moveWithCells="1">
                  <from>
                    <xdr:col>3</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062020" r:id="rId112" name="bpmDropDownFLU463">
              <controlPr defaultSize="0" autoFill="0" autoPict="0">
                <anchor moveWithCells="1">
                  <from>
                    <xdr:col>3</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062021" r:id="rId113" name="bpmDropDownFLU464">
              <controlPr defaultSize="0" autoFill="0" autoPict="0">
                <anchor moveWithCells="1">
                  <from>
                    <xdr:col>3</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062022" r:id="rId114" name="bpmDropDownFLU465">
              <controlPr defaultSize="0" autoFill="0" autoPict="0">
                <anchor moveWithCells="1">
                  <from>
                    <xdr:col>3</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062023" r:id="rId115" name="bpmDropDownFLU466">
              <controlPr defaultSize="0" autoFill="0" autoPict="0">
                <anchor moveWithCells="1">
                  <from>
                    <xdr:col>3</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062024" r:id="rId116" name="bpmDropDownFLU467">
              <controlPr defaultSize="0" autoFill="0" autoPict="0">
                <anchor moveWithCells="1">
                  <from>
                    <xdr:col>3</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062026" r:id="rId117" name="bpmDropDownFLU469">
              <controlPr defaultSize="0" autoFill="0" autoPict="0">
                <anchor moveWithCells="1">
                  <from>
                    <xdr:col>3</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062027" r:id="rId118" name="bpmDropDownFLU470">
              <controlPr defaultSize="0" autoFill="0" autoPict="0">
                <anchor moveWithCells="1">
                  <from>
                    <xdr:col>3</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062028" r:id="rId119" name="bpmDropDownFLU471">
              <controlPr defaultSize="0" autoFill="0" autoPict="0">
                <anchor moveWithCells="1">
                  <from>
                    <xdr:col>3</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062029" r:id="rId120" name="bpmDropDownFLU472">
              <controlPr defaultSize="0" autoFill="0" autoPict="0">
                <anchor moveWithCells="1">
                  <from>
                    <xdr:col>3</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062030" r:id="rId121" name="bpmDropDownFLU473">
              <controlPr defaultSize="0" autoFill="0" autoPict="0">
                <anchor moveWithCells="1">
                  <from>
                    <xdr:col>3</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062031" r:id="rId122" name="bpmDropDownFLU474">
              <controlPr defaultSize="0" autoFill="0" autoPict="0">
                <anchor moveWithCells="1">
                  <from>
                    <xdr:col>3</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062032" r:id="rId123" name="bpmDropDownFLU475">
              <controlPr defaultSize="0" autoFill="0" autoPict="0">
                <anchor moveWithCells="1">
                  <from>
                    <xdr:col>3</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062033" r:id="rId124" name="bpmDropDownFLU476">
              <controlPr defaultSize="0" autoFill="0" autoPict="0">
                <anchor moveWithCells="1">
                  <from>
                    <xdr:col>3</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062034" r:id="rId125" name="bpmDropDownFLU477">
              <controlPr defaultSize="0" autoFill="0" autoPict="0">
                <anchor moveWithCells="1">
                  <from>
                    <xdr:col>3</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062035" r:id="rId126" name="bpmDropDownFLU478">
              <controlPr defaultSize="0" autoFill="0" autoPict="0">
                <anchor moveWithCells="1">
                  <from>
                    <xdr:col>3</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062036" r:id="rId127" name="bpmDropDownFLU479">
              <controlPr defaultSize="0" autoFill="0" autoPict="0">
                <anchor moveWithCells="1">
                  <from>
                    <xdr:col>3</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062037" r:id="rId128" name="bpmDropDownFLU480">
              <controlPr defaultSize="0" autoFill="0" autoPict="0">
                <anchor moveWithCells="1">
                  <from>
                    <xdr:col>3</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062038" r:id="rId129" name="bpmDropDownFLU481">
              <controlPr defaultSize="0" autoFill="0" autoPict="0">
                <anchor moveWithCells="1">
                  <from>
                    <xdr:col>3</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062039" r:id="rId130" name="bpmDropDownFLU482">
              <controlPr defaultSize="0" autoFill="0" autoPict="0">
                <anchor moveWithCells="1">
                  <from>
                    <xdr:col>3</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062040" r:id="rId131" name="bpmDropDownFLU483">
              <controlPr defaultSize="0" autoFill="0" autoPict="0">
                <anchor moveWithCells="1">
                  <from>
                    <xdr:col>3</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062042" r:id="rId132" name="bpmDropDownFLU486">
              <controlPr defaultSize="0" autoFill="0" autoPict="0">
                <anchor moveWithCells="1">
                  <from>
                    <xdr:col>3</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062043" r:id="rId133" name="bpmDropDownFLU488">
              <controlPr defaultSize="0" autoFill="0" autoPict="0">
                <anchor moveWithCells="1">
                  <from>
                    <xdr:col>3</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062044" r:id="rId134" name="bpmDropDownFLU489">
              <controlPr defaultSize="0" autoFill="0" autoPict="0">
                <anchor moveWithCells="1">
                  <from>
                    <xdr:col>3</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062045" r:id="rId135" name="bpmDropDownFLU490">
              <controlPr defaultSize="0" autoFill="0" autoPict="0">
                <anchor moveWithCells="1">
                  <from>
                    <xdr:col>3</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062046" r:id="rId136" name="bpmDropDownFLU491">
              <controlPr defaultSize="0" autoFill="0" autoPict="0">
                <anchor moveWithCells="1">
                  <from>
                    <xdr:col>3</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062047" r:id="rId137" name="bpmDropDownFLU492">
              <controlPr defaultSize="0" autoFill="0" autoPict="0">
                <anchor moveWithCells="1">
                  <from>
                    <xdr:col>3</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062048" r:id="rId138" name="bpmDropDownFLU493">
              <controlPr defaultSize="0" autoFill="0" autoPict="0">
                <anchor moveWithCells="1">
                  <from>
                    <xdr:col>3</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1062049" r:id="rId139" name="bpmDropDownFLU494">
              <controlPr defaultSize="0" autoFill="0" autoPict="0">
                <anchor moveWithCells="1">
                  <from>
                    <xdr:col>3</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062050" r:id="rId140" name="bpmDropDownFLU495">
              <controlPr defaultSize="0" autoFill="0" autoPict="0">
                <anchor moveWithCells="1">
                  <from>
                    <xdr:col>3</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062051" r:id="rId141" name="bpmDropDownFLU496">
              <controlPr defaultSize="0" autoFill="0" autoPict="0">
                <anchor moveWithCells="1">
                  <from>
                    <xdr:col>3</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062052" r:id="rId142" name="bpmDropDownFLU497">
              <controlPr defaultSize="0" autoFill="0" autoPict="0">
                <anchor moveWithCells="1">
                  <from>
                    <xdr:col>3</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062053" r:id="rId143" name="bpmDropDownFLU498">
              <controlPr defaultSize="0" autoFill="0" autoPict="0">
                <anchor moveWithCells="1">
                  <from>
                    <xdr:col>3</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062054" r:id="rId144" name="bpmDropDownFLU499">
              <controlPr defaultSize="0" autoFill="0" autoPict="0">
                <anchor moveWithCells="1">
                  <from>
                    <xdr:col>3</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062055" r:id="rId145" name="bpmDropDownFLU500">
              <controlPr defaultSize="0" autoFill="0" autoPict="0">
                <anchor moveWithCells="1">
                  <from>
                    <xdr:col>3</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062056" r:id="rId146" name="bpmDropDownFLU501">
              <controlPr defaultSize="0" autoFill="0" autoPict="0">
                <anchor moveWithCells="1">
                  <from>
                    <xdr:col>3</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062058" r:id="rId147" name="bpmDropDownFLU520">
              <controlPr defaultSize="0" autoFill="0" autoPict="0">
                <anchor moveWithCells="1">
                  <from>
                    <xdr:col>3</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062059" r:id="rId148" name="bpmDropDownFLU521">
              <controlPr defaultSize="0" autoFill="0" autoPict="0">
                <anchor moveWithCells="1">
                  <from>
                    <xdr:col>3</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062060" r:id="rId149" name="bpmDropDownFLU522">
              <controlPr defaultSize="0" autoFill="0" autoPict="0">
                <anchor moveWithCells="1">
                  <from>
                    <xdr:col>3</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062061" r:id="rId150" name="bpmDropDownFLU523">
              <controlPr defaultSize="0" autoFill="0" autoPict="0">
                <anchor moveWithCells="1">
                  <from>
                    <xdr:col>3</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062062" r:id="rId151" name="bpmDropDownFLU524">
              <controlPr defaultSize="0" autoFill="0" autoPict="0">
                <anchor moveWithCells="1">
                  <from>
                    <xdr:col>3</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062063" r:id="rId152" name="bpmDropDownFLU525">
              <controlPr defaultSize="0" autoFill="0" autoPict="0">
                <anchor moveWithCells="1">
                  <from>
                    <xdr:col>3</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062064" r:id="rId153" name="bpmDropDownFLU545">
              <controlPr defaultSize="0" autoFill="0" autoPict="0">
                <anchor moveWithCells="1">
                  <from>
                    <xdr:col>3</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062065" r:id="rId154" name="bpmDropDownFLU546">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062066" r:id="rId155" name="bpmDropDownFLU547">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062067" r:id="rId156" name="bpmDropDownFLU548">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062068" r:id="rId157" name="bpmDropDownFLU549">
              <controlPr defaultSize="0" autoFill="0" autoPict="0">
                <anchor moveWithCells="1">
                  <from>
                    <xdr:col>3</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062069" r:id="rId158" name="bpmDropDownFLU550">
              <controlPr defaultSize="0" autoFill="0" autoPict="0">
                <anchor moveWithCells="1">
                  <from>
                    <xdr:col>3</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062070" r:id="rId159" name="bpmDropDownFLU680">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062071" r:id="rId160" name="bpmDropDownFLU681">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062072" r:id="rId161" name="bpmDropDownFLU682">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062074" r:id="rId162" name="bpmDropDownFLU684">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062075" r:id="rId163" name="bpmDropDownFLU685">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062076" r:id="rId164" name="bpmDropDownFLU686">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062077" r:id="rId165" name="bpmDropDownFLU688">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062078" r:id="rId166" name="bpmDropDownFLU948">
              <controlPr defaultSize="0" autoFill="0" autoPict="0">
                <anchor moveWithCells="1">
                  <from>
                    <xdr:col>3</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062079" r:id="rId167" name="bpmDropDownFLU949">
              <controlPr defaultSize="0" autoFill="0" autoPict="0">
                <anchor moveWithCells="1">
                  <from>
                    <xdr:col>3</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062080" r:id="rId168" name="bpmDropDownFLU950">
              <controlPr defaultSize="0" autoFill="0" autoPict="0">
                <anchor moveWithCells="1">
                  <from>
                    <xdr:col>3</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062081" r:id="rId169" name="bpmDropDownFLU951">
              <controlPr defaultSize="0" autoFill="0" autoPict="0">
                <anchor moveWithCells="1">
                  <from>
                    <xdr:col>3</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062082" r:id="rId170" name="bpmDropDownFLU952">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062083" r:id="rId171" name="bpmDropDownFLU953">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062084" r:id="rId172" name="bpmDropDownFLU973">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062085" r:id="rId173" name="bpmDropDownFLU974">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062086" r:id="rId174" name="bpmDropDownFLU975">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062087" r:id="rId175" name="bpmDropDownFLU976">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062088" r:id="rId176" name="bpmDropDownFLU977">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062090" r:id="rId177" name="bpmDropDownFLU1003">
              <controlPr defaultSize="0" autoFill="0" autoPict="0">
                <anchor moveWithCells="1">
                  <from>
                    <xdr:col>3</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062091" r:id="rId178" name="bpmDropDownFLU1004">
              <controlPr defaultSize="0" autoFill="0" autoPict="0">
                <anchor moveWithCells="1">
                  <from>
                    <xdr:col>3</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062092" r:id="rId179" name="bpmDropDownFLU1005">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062093" r:id="rId180" name="bpmDropDownFLU1006">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062094" r:id="rId181" name="bpmDropDownFLU1007">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062095" r:id="rId182" name="bpmDropDownFLU1008">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062096" r:id="rId183" name="bpmDropDownFLU1009">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062097" r:id="rId184" name="bpmDropDownFLU1010">
              <controlPr defaultSize="0" autoFill="0" autoPict="0">
                <anchor moveWithCells="1">
                  <from>
                    <xdr:col>3</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062098" r:id="rId185" name="bpmDropDownFLU1011">
              <controlPr defaultSize="0" autoFill="0" autoPict="0">
                <anchor moveWithCells="1">
                  <from>
                    <xdr:col>3</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062099" r:id="rId186" name="bpmDropDownFLU1012">
              <controlPr defaultSize="0" autoFill="0" autoPict="0">
                <anchor moveWithCells="1">
                  <from>
                    <xdr:col>3</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062100" r:id="rId187" name="bpmDropDownFLU1013">
              <controlPr defaultSize="0" autoFill="0" autoPict="0">
                <anchor moveWithCells="1">
                  <from>
                    <xdr:col>3</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062101" r:id="rId188" name="bpmDropDownFLU1014">
              <controlPr defaultSize="0" autoFill="0" autoPict="0">
                <anchor moveWithCells="1">
                  <from>
                    <xdr:col>3</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062102" r:id="rId189" name="bpmDropDownFLU1015">
              <controlPr defaultSize="0" autoFill="0" autoPict="0">
                <anchor moveWithCells="1">
                  <from>
                    <xdr:col>3</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062103" r:id="rId190" name="bpmDropDownFLU1016">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062104" r:id="rId191" name="bpmDropDownFLU1017">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062106" r:id="rId192" name="bpmDropDownFLU1019">
              <controlPr defaultSize="0" autoFill="0" autoPict="0">
                <anchor moveWithCells="1">
                  <from>
                    <xdr:col>3</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062107" r:id="rId193" name="bpmDropDownFLU1020">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062108" r:id="rId194" name="bpmDropDownFLU1021">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062109" r:id="rId195" name="bpmDropDownFLU1022">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062110" r:id="rId196" name="bpmDropDownFLU1043">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062111" r:id="rId197" name="bpmDropDownFLU1044">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062112" r:id="rId198" name="bpmDropDownFLU1045">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062113" r:id="rId199" name="bpmDropDownFLU1046">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062114" r:id="rId200" name="bpmDropDownFLU1047">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062115" r:id="rId201" name="bpmDropDownFLU1068">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1062116" r:id="rId202" name="bpmDropDownFLU1069">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062117" r:id="rId203" name="bpmDropDownFLU1070">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062118" r:id="rId204" name="bpmDropDownFLU1071">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062119" r:id="rId205" name="bpmDropDownFLU1072">
              <controlPr defaultSize="0" autoFill="0" autoPict="0">
                <anchor moveWithCells="1">
                  <from>
                    <xdr:col>3</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062120" r:id="rId206" name="bpmDropDownFLU1073">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1062122" r:id="rId207" name="bpmDropDownFLU1075">
              <controlPr defaultSize="0" autoFill="0" autoPict="0">
                <anchor moveWithCells="1">
                  <from>
                    <xdr:col>3</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062123" r:id="rId208" name="bpmDropDownFLU1076">
              <controlPr defaultSize="0" autoFill="0" autoPict="0">
                <anchor moveWithCells="1">
                  <from>
                    <xdr:col>3</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062124" r:id="rId209" name="bpmDropDownFLU1077">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062125" r:id="rId210" name="bpmDropDownFLU1078">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062126" r:id="rId211" name="bpmDropDownFLU1079">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062127" r:id="rId212" name="bpmDropDownFLU1080">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062128" r:id="rId213" name="bpmDropDownFLU1081">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062129" r:id="rId214" name="bpmDropDownFLU1082">
              <controlPr defaultSize="0" autoFill="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1062130" r:id="rId215" name="bpmDropDownFLU1083">
              <controlPr defaultSize="0" autoFill="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1062131" r:id="rId216" name="bpmDropDownFLU1084">
              <controlPr defaultSize="0" autoFill="0" autoPict="0">
                <anchor moveWithCells="1">
                  <from>
                    <xdr:col>8</xdr:col>
                    <xdr:colOff>0</xdr:colOff>
                    <xdr:row>103</xdr:row>
                    <xdr:rowOff>0</xdr:rowOff>
                  </from>
                  <to>
                    <xdr:col>9</xdr:col>
                    <xdr:colOff>0</xdr:colOff>
                    <xdr:row>104</xdr:row>
                    <xdr:rowOff>0</xdr:rowOff>
                  </to>
                </anchor>
              </controlPr>
            </control>
          </mc:Choice>
        </mc:AlternateContent>
        <mc:AlternateContent xmlns:mc="http://schemas.openxmlformats.org/markup-compatibility/2006">
          <mc:Choice Requires="x14">
            <control shapeId="1062132" r:id="rId217" name="bpmDropDownFLU1085">
              <controlPr defaultSize="0" autoFill="0" autoPict="0">
                <anchor moveWithCells="1">
                  <from>
                    <xdr:col>8</xdr:col>
                    <xdr:colOff>0</xdr:colOff>
                    <xdr:row>104</xdr:row>
                    <xdr:rowOff>0</xdr:rowOff>
                  </from>
                  <to>
                    <xdr:col>9</xdr:col>
                    <xdr:colOff>0</xdr:colOff>
                    <xdr:row>105</xdr:row>
                    <xdr:rowOff>0</xdr:rowOff>
                  </to>
                </anchor>
              </controlPr>
            </control>
          </mc:Choice>
        </mc:AlternateContent>
        <mc:AlternateContent xmlns:mc="http://schemas.openxmlformats.org/markup-compatibility/2006">
          <mc:Choice Requires="x14">
            <control shapeId="1062133" r:id="rId218" name="bpmDropDownFLU1086">
              <controlPr defaultSize="0" autoFill="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1062134" r:id="rId219" name="bpmDropDownFLU1087">
              <controlPr defaultSize="0" autoFill="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1062135" r:id="rId220" name="bpmDropDownFLU1088">
              <controlPr defaultSize="0" autoFill="0" autoPict="0">
                <anchor moveWithCells="1">
                  <from>
                    <xdr:col>8</xdr:col>
                    <xdr:colOff>0</xdr:colOff>
                    <xdr:row>107</xdr:row>
                    <xdr:rowOff>0</xdr:rowOff>
                  </from>
                  <to>
                    <xdr:col>9</xdr:col>
                    <xdr:colOff>0</xdr:colOff>
                    <xdr:row>108</xdr:row>
                    <xdr:rowOff>0</xdr:rowOff>
                  </to>
                </anchor>
              </controlPr>
            </control>
          </mc:Choice>
        </mc:AlternateContent>
        <mc:AlternateContent xmlns:mc="http://schemas.openxmlformats.org/markup-compatibility/2006">
          <mc:Choice Requires="x14">
            <control shapeId="1062136" r:id="rId221" name="bpmDropDownFLU1089">
              <controlPr defaultSize="0" autoFill="0" autoPict="0">
                <anchor moveWithCells="1">
                  <from>
                    <xdr:col>8</xdr:col>
                    <xdr:colOff>0</xdr:colOff>
                    <xdr:row>108</xdr:row>
                    <xdr:rowOff>0</xdr:rowOff>
                  </from>
                  <to>
                    <xdr:col>9</xdr:col>
                    <xdr:colOff>0</xdr:colOff>
                    <xdr:row>109</xdr:row>
                    <xdr:rowOff>0</xdr:rowOff>
                  </to>
                </anchor>
              </controlPr>
            </control>
          </mc:Choice>
        </mc:AlternateContent>
        <mc:AlternateContent xmlns:mc="http://schemas.openxmlformats.org/markup-compatibility/2006">
          <mc:Choice Requires="x14">
            <control shapeId="1062138" r:id="rId222" name="bpmDropDownFLU1091">
              <controlPr defaultSize="0" autoFill="0" autoPict="0">
                <anchor moveWithCells="1">
                  <from>
                    <xdr:col>8</xdr:col>
                    <xdr:colOff>0</xdr:colOff>
                    <xdr:row>109</xdr:row>
                    <xdr:rowOff>0</xdr:rowOff>
                  </from>
                  <to>
                    <xdr:col>9</xdr:col>
                    <xdr:colOff>0</xdr:colOff>
                    <xdr:row>110</xdr:row>
                    <xdr:rowOff>0</xdr:rowOff>
                  </to>
                </anchor>
              </controlPr>
            </control>
          </mc:Choice>
        </mc:AlternateContent>
        <mc:AlternateContent xmlns:mc="http://schemas.openxmlformats.org/markup-compatibility/2006">
          <mc:Choice Requires="x14">
            <control shapeId="1062139" r:id="rId223" name="bpmDropDownFLU1092">
              <controlPr defaultSize="0" autoFill="0" autoPict="0">
                <anchor moveWithCells="1">
                  <from>
                    <xdr:col>8</xdr:col>
                    <xdr:colOff>0</xdr:colOff>
                    <xdr:row>110</xdr:row>
                    <xdr:rowOff>0</xdr:rowOff>
                  </from>
                  <to>
                    <xdr:col>9</xdr:col>
                    <xdr:colOff>0</xdr:colOff>
                    <xdr:row>111</xdr:row>
                    <xdr:rowOff>0</xdr:rowOff>
                  </to>
                </anchor>
              </controlPr>
            </control>
          </mc:Choice>
        </mc:AlternateContent>
        <mc:AlternateContent xmlns:mc="http://schemas.openxmlformats.org/markup-compatibility/2006">
          <mc:Choice Requires="x14">
            <control shapeId="1062140" r:id="rId224" name="bpmDropDownFLU1102">
              <controlPr defaultSize="0" autoFill="0" autoPict="0">
                <anchor moveWithCells="1">
                  <from>
                    <xdr:col>8</xdr:col>
                    <xdr:colOff>0</xdr:colOff>
                    <xdr:row>111</xdr:row>
                    <xdr:rowOff>0</xdr:rowOff>
                  </from>
                  <to>
                    <xdr:col>9</xdr:col>
                    <xdr:colOff>0</xdr:colOff>
                    <xdr:row>112</xdr:row>
                    <xdr:rowOff>0</xdr:rowOff>
                  </to>
                </anchor>
              </controlPr>
            </control>
          </mc:Choice>
        </mc:AlternateContent>
        <mc:AlternateContent xmlns:mc="http://schemas.openxmlformats.org/markup-compatibility/2006">
          <mc:Choice Requires="x14">
            <control shapeId="1062141" r:id="rId225" name="bpmDropDownFLU1103">
              <controlPr defaultSize="0" autoFill="0" autoPict="0">
                <anchor moveWithCells="1">
                  <from>
                    <xdr:col>8</xdr:col>
                    <xdr:colOff>0</xdr:colOff>
                    <xdr:row>112</xdr:row>
                    <xdr:rowOff>0</xdr:rowOff>
                  </from>
                  <to>
                    <xdr:col>9</xdr:col>
                    <xdr:colOff>0</xdr:colOff>
                    <xdr:row>113</xdr:row>
                    <xdr:rowOff>0</xdr:rowOff>
                  </to>
                </anchor>
              </controlPr>
            </control>
          </mc:Choice>
        </mc:AlternateContent>
        <mc:AlternateContent xmlns:mc="http://schemas.openxmlformats.org/markup-compatibility/2006">
          <mc:Choice Requires="x14">
            <control shapeId="1062142" r:id="rId226" name="bpmDropDownFLU1104">
              <controlPr defaultSize="0" autoFill="0" autoPict="0">
                <anchor moveWithCells="1">
                  <from>
                    <xdr:col>8</xdr:col>
                    <xdr:colOff>0</xdr:colOff>
                    <xdr:row>113</xdr:row>
                    <xdr:rowOff>0</xdr:rowOff>
                  </from>
                  <to>
                    <xdr:col>9</xdr:col>
                    <xdr:colOff>0</xdr:colOff>
                    <xdr:row>114</xdr:row>
                    <xdr:rowOff>0</xdr:rowOff>
                  </to>
                </anchor>
              </controlPr>
            </control>
          </mc:Choice>
        </mc:AlternateContent>
        <mc:AlternateContent xmlns:mc="http://schemas.openxmlformats.org/markup-compatibility/2006">
          <mc:Choice Requires="x14">
            <control shapeId="1062143" r:id="rId227" name="bpmDropDownFLU1105">
              <controlPr defaultSize="0" autoFill="0" autoPict="0">
                <anchor moveWithCells="1">
                  <from>
                    <xdr:col>8</xdr:col>
                    <xdr:colOff>0</xdr:colOff>
                    <xdr:row>114</xdr:row>
                    <xdr:rowOff>0</xdr:rowOff>
                  </from>
                  <to>
                    <xdr:col>9</xdr:col>
                    <xdr:colOff>0</xdr:colOff>
                    <xdr:row>115</xdr:row>
                    <xdr:rowOff>0</xdr:rowOff>
                  </to>
                </anchor>
              </controlPr>
            </control>
          </mc:Choice>
        </mc:AlternateContent>
        <mc:AlternateContent xmlns:mc="http://schemas.openxmlformats.org/markup-compatibility/2006">
          <mc:Choice Requires="x14">
            <control shapeId="1062144" r:id="rId228" name="bpmDropDownFLU1106">
              <controlPr defaultSize="0" autoFill="0" autoPict="0">
                <anchor moveWithCells="1">
                  <from>
                    <xdr:col>8</xdr:col>
                    <xdr:colOff>0</xdr:colOff>
                    <xdr:row>115</xdr:row>
                    <xdr:rowOff>0</xdr:rowOff>
                  </from>
                  <to>
                    <xdr:col>9</xdr:col>
                    <xdr:colOff>0</xdr:colOff>
                    <xdr:row>116</xdr:row>
                    <xdr:rowOff>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tabColor indexed="62"/>
    <pageSetUpPr autoPageBreaks="0"/>
  </sheetPr>
  <dimension ref="A1:T200"/>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7" width="11.6640625" style="134" customWidth="1"/>
    <col min="8" max="8" width="30.6640625" style="134" customWidth="1"/>
    <col min="9" max="11" width="11.6640625" style="134" customWidth="1"/>
    <col min="12" max="15" width="15.6640625" style="134" customWidth="1"/>
    <col min="16" max="16" width="40.6640625" style="134" customWidth="1"/>
    <col min="17" max="20" width="11.6640625" style="134" customWidth="1"/>
    <col min="21" max="16384" width="11.6640625" style="134" hidden="1"/>
  </cols>
  <sheetData>
    <row r="1" spans="1:16" ht="21">
      <c r="B1" s="46" t="s">
        <v>529</v>
      </c>
    </row>
    <row r="2" spans="1:16" ht="18">
      <c r="B2" s="47" t="str">
        <f>Model_Name</f>
        <v>Seasonal Influenza Immunization Costing Tool (SIICT)  - Test Country</v>
      </c>
    </row>
    <row r="3" spans="1:16">
      <c r="B3" s="716" t="s">
        <v>1</v>
      </c>
      <c r="C3" s="716"/>
      <c r="D3" s="716"/>
      <c r="E3" s="716"/>
      <c r="F3" s="716"/>
    </row>
    <row r="4" spans="1:16">
      <c r="A4" s="48" t="s">
        <v>3</v>
      </c>
      <c r="B4" s="49" t="s">
        <v>4</v>
      </c>
      <c r="C4" s="50" t="s">
        <v>5</v>
      </c>
      <c r="D4" s="51" t="s">
        <v>25</v>
      </c>
      <c r="E4" s="79" t="s">
        <v>26</v>
      </c>
      <c r="F4" s="52" t="s">
        <v>27</v>
      </c>
    </row>
    <row r="5" spans="1:16">
      <c r="K5" s="23"/>
    </row>
    <row r="6" spans="1:16">
      <c r="K6" s="23"/>
    </row>
    <row r="7" spans="1:16" ht="17.399999999999999">
      <c r="B7" s="81" t="str">
        <f>"Detailed Cost Estimate: "&amp;FLU_LU!$D$334</f>
        <v>Detailed Cost Estimate: Public Health Directorate Training</v>
      </c>
      <c r="K7" s="23"/>
    </row>
    <row r="8" spans="1:16">
      <c r="G8" s="23"/>
      <c r="K8" s="23"/>
    </row>
    <row r="9" spans="1:16" s="23" customFormat="1">
      <c r="F9" s="152" t="s">
        <v>691</v>
      </c>
      <c r="H9" s="160" t="str">
        <f>TRAIN!$G$16</f>
        <v>24 PHD Representatives Prepared in Tirana</v>
      </c>
      <c r="I9" s="61"/>
      <c r="J9" s="61"/>
      <c r="K9" s="61"/>
      <c r="L9" s="61"/>
      <c r="M9" s="61"/>
      <c r="N9" s="61"/>
      <c r="O9" s="61"/>
      <c r="P9" s="61"/>
    </row>
    <row r="10" spans="1:16" s="23" customFormat="1"/>
    <row r="11" spans="1:16" s="23" customFormat="1">
      <c r="C11" s="160" t="str">
        <f>FLU_LU!$D$278</f>
        <v xml:space="preserve">Personnel </v>
      </c>
    </row>
    <row r="12" spans="1:16" s="23" customFormat="1" ht="43.2">
      <c r="D12" s="733" t="s">
        <v>100</v>
      </c>
      <c r="E12" s="733"/>
      <c r="F12" s="733"/>
      <c r="G12" s="733"/>
      <c r="H12" s="142" t="s">
        <v>274</v>
      </c>
      <c r="I12" s="72" t="s">
        <v>474</v>
      </c>
      <c r="J12" s="152" t="s">
        <v>67</v>
      </c>
      <c r="K12" s="72" t="s">
        <v>475</v>
      </c>
      <c r="L12" s="28" t="str">
        <f>"Financial Price ("&amp;FLU_LU!$D$79&amp;")"</f>
        <v>Financial Price (GOZ)</v>
      </c>
      <c r="M12" s="28" t="str">
        <f>"Economic Price ("&amp;FLU_LU!$D$79&amp;")"</f>
        <v>Economic Price (GOZ)</v>
      </c>
      <c r="N12" s="28" t="str">
        <f>"Financial Price ("&amp;FLU_LU!$D$78&amp;")"</f>
        <v>Financial Price (USD)</v>
      </c>
      <c r="O12" s="28" t="str">
        <f>"Economic Price ("&amp;FLU_LU!$D$78&amp;")"</f>
        <v>Economic Price (USD)</v>
      </c>
      <c r="P12" s="152" t="s">
        <v>68</v>
      </c>
    </row>
    <row r="13" spans="1:16" s="23" customFormat="1">
      <c r="D13" s="746">
        <v>1</v>
      </c>
      <c r="E13" s="747"/>
      <c r="F13" s="747"/>
      <c r="G13" s="748"/>
      <c r="H13" s="151"/>
      <c r="I13" s="31">
        <v>1</v>
      </c>
      <c r="J13" s="64">
        <v>2</v>
      </c>
      <c r="K13" s="135">
        <f t="shared" ref="K13:K27" si="0">IF(I13=1,J13/FLU_DAYS_PER_MONTH,IF(I13=2,J13/FLU_HOURS_PER_MONTH,J13/FLU_MINUTES_PER_MONTH))</f>
        <v>9.0909090909090912E-2</v>
      </c>
      <c r="L13" s="162">
        <f ca="1">OFFSET(Cost_Ingredients!$N$73,DD_FLU_TRAIN_GROUP_B_1,0)*$K13</f>
        <v>0</v>
      </c>
      <c r="M13" s="162">
        <f ca="1">OFFSET(Cost_Ingredients!$O$73,DD_FLU_TRAIN_GROUP_B_1,0)*$K13</f>
        <v>0</v>
      </c>
      <c r="N13" s="179">
        <f ca="1">OFFSET(Cost_Ingredients!$P$73,DD_FLU_TRAIN_GROUP_B_1,0)*$K13</f>
        <v>0</v>
      </c>
      <c r="O13" s="179">
        <f ca="1">OFFSET(Cost_Ingredients!$Q$73,DD_FLU_TRAIN_GROUP_B_1,0)*$K13</f>
        <v>0</v>
      </c>
      <c r="P13" s="151"/>
    </row>
    <row r="14" spans="1:16" s="23" customFormat="1">
      <c r="D14" s="746">
        <v>1</v>
      </c>
      <c r="E14" s="747"/>
      <c r="F14" s="747"/>
      <c r="G14" s="748"/>
      <c r="H14" s="151"/>
      <c r="I14" s="31">
        <v>1</v>
      </c>
      <c r="J14" s="64"/>
      <c r="K14" s="135">
        <f t="shared" si="0"/>
        <v>0</v>
      </c>
      <c r="L14" s="162">
        <f ca="1">OFFSET(Cost_Ingredients!$N$73,DD_FLU_TRAIN_GROUP_B_2,0)*$K14</f>
        <v>0</v>
      </c>
      <c r="M14" s="162">
        <f ca="1">OFFSET(Cost_Ingredients!$O$73,DD_FLU_TRAIN_GROUP_B_2,0)*$K14</f>
        <v>0</v>
      </c>
      <c r="N14" s="179">
        <f ca="1">OFFSET(Cost_Ingredients!$P$73,DD_FLU_TRAIN_GROUP_B_2,0)*$K14</f>
        <v>0</v>
      </c>
      <c r="O14" s="179">
        <f ca="1">OFFSET(Cost_Ingredients!$Q$73,DD_FLU_TRAIN_GROUP_B_2,0)*$K14</f>
        <v>0</v>
      </c>
      <c r="P14" s="151"/>
    </row>
    <row r="15" spans="1:16" s="23" customFormat="1">
      <c r="D15" s="746">
        <v>1</v>
      </c>
      <c r="E15" s="747"/>
      <c r="F15" s="747"/>
      <c r="G15" s="748"/>
      <c r="H15" s="151"/>
      <c r="I15" s="31">
        <v>1</v>
      </c>
      <c r="J15" s="64"/>
      <c r="K15" s="135">
        <f t="shared" si="0"/>
        <v>0</v>
      </c>
      <c r="L15" s="162">
        <f ca="1">OFFSET(Cost_Ingredients!$N$73,DD_FLU_TRAIN_GROUP_B_3,0)*$K15</f>
        <v>0</v>
      </c>
      <c r="M15" s="162">
        <f ca="1">OFFSET(Cost_Ingredients!$O$73,DD_FLU_TRAIN_GROUP_B_3,0)*$K15</f>
        <v>0</v>
      </c>
      <c r="N15" s="179">
        <f ca="1">OFFSET(Cost_Ingredients!$P$73,DD_FLU_TRAIN_GROUP_B_3,0)*$K15</f>
        <v>0</v>
      </c>
      <c r="O15" s="179">
        <f ca="1">OFFSET(Cost_Ingredients!$Q$73,DD_FLU_TRAIN_GROUP_B_3,0)*$K15</f>
        <v>0</v>
      </c>
      <c r="P15" s="151"/>
    </row>
    <row r="16" spans="1:16" s="23" customFormat="1">
      <c r="D16" s="746">
        <v>1</v>
      </c>
      <c r="E16" s="747"/>
      <c r="F16" s="747"/>
      <c r="G16" s="748"/>
      <c r="H16" s="151"/>
      <c r="I16" s="31">
        <v>1</v>
      </c>
      <c r="J16" s="64"/>
      <c r="K16" s="135">
        <f t="shared" si="0"/>
        <v>0</v>
      </c>
      <c r="L16" s="162">
        <f ca="1">OFFSET(Cost_Ingredients!$N$73,DD_FLU_TRAIN_GROUP_B_4,0)*$K16</f>
        <v>0</v>
      </c>
      <c r="M16" s="162">
        <f ca="1">OFFSET(Cost_Ingredients!$O$73,DD_FLU_TRAIN_GROUP_B_4,0)*$K16</f>
        <v>0</v>
      </c>
      <c r="N16" s="179">
        <f ca="1">OFFSET(Cost_Ingredients!$P$73,DD_FLU_TRAIN_GROUP_B_4,0)*$K16</f>
        <v>0</v>
      </c>
      <c r="O16" s="179">
        <f ca="1">OFFSET(Cost_Ingredients!$Q$73,DD_FLU_TRAIN_GROUP_B_4,0)*$K16</f>
        <v>0</v>
      </c>
      <c r="P16" s="151"/>
    </row>
    <row r="17" spans="3:16" s="23" customFormat="1">
      <c r="D17" s="746">
        <v>1</v>
      </c>
      <c r="E17" s="747"/>
      <c r="F17" s="747"/>
      <c r="G17" s="748"/>
      <c r="H17" s="151"/>
      <c r="I17" s="31">
        <v>1</v>
      </c>
      <c r="J17" s="64"/>
      <c r="K17" s="135">
        <f t="shared" si="0"/>
        <v>0</v>
      </c>
      <c r="L17" s="162">
        <f ca="1">OFFSET(Cost_Ingredients!$N$73,DD_FLU_TRAIN_GROUP_B_5,0)*$K17</f>
        <v>0</v>
      </c>
      <c r="M17" s="162">
        <f ca="1">OFFSET(Cost_Ingredients!$O$73,DD_FLU_TRAIN_GROUP_B_5,0)*$K17</f>
        <v>0</v>
      </c>
      <c r="N17" s="179">
        <f ca="1">OFFSET(Cost_Ingredients!$P$73,DD_FLU_TRAIN_GROUP_B_5,0)*$K17</f>
        <v>0</v>
      </c>
      <c r="O17" s="179">
        <f ca="1">OFFSET(Cost_Ingredients!$Q$73,DD_FLU_TRAIN_GROUP_B_5,0)*$K17</f>
        <v>0</v>
      </c>
      <c r="P17" s="151"/>
    </row>
    <row r="18" spans="3:16" s="23" customFormat="1">
      <c r="D18" s="746">
        <v>1</v>
      </c>
      <c r="E18" s="747"/>
      <c r="F18" s="747"/>
      <c r="G18" s="748"/>
      <c r="H18" s="151"/>
      <c r="I18" s="31">
        <v>1</v>
      </c>
      <c r="J18" s="64"/>
      <c r="K18" s="135">
        <f t="shared" si="0"/>
        <v>0</v>
      </c>
      <c r="L18" s="162">
        <f ca="1">OFFSET(Cost_Ingredients!$N$73,DD_FLU_TRAIN_GROUP_B_6,0)*$K18</f>
        <v>0</v>
      </c>
      <c r="M18" s="162">
        <f ca="1">OFFSET(Cost_Ingredients!$O$73,DD_FLU_TRAIN_GROUP_B_6,0)*$K18</f>
        <v>0</v>
      </c>
      <c r="N18" s="179">
        <f ca="1">OFFSET(Cost_Ingredients!$P$73,DD_FLU_TRAIN_GROUP_B_6,0)*$K18</f>
        <v>0</v>
      </c>
      <c r="O18" s="179">
        <f ca="1">OFFSET(Cost_Ingredients!$Q$73,DD_FLU_TRAIN_GROUP_B_6,0)*$K18</f>
        <v>0</v>
      </c>
      <c r="P18" s="151"/>
    </row>
    <row r="19" spans="3:16" s="23" customFormat="1">
      <c r="D19" s="746">
        <v>1</v>
      </c>
      <c r="E19" s="747"/>
      <c r="F19" s="747"/>
      <c r="G19" s="748"/>
      <c r="H19" s="151"/>
      <c r="I19" s="31">
        <v>1</v>
      </c>
      <c r="J19" s="64"/>
      <c r="K19" s="135">
        <f t="shared" si="0"/>
        <v>0</v>
      </c>
      <c r="L19" s="162">
        <f ca="1">OFFSET(Cost_Ingredients!$N$73,DD_FLU_TRAIN_GROUP_B_7,0)*$K19</f>
        <v>0</v>
      </c>
      <c r="M19" s="162">
        <f ca="1">OFFSET(Cost_Ingredients!$O$73,DD_FLU_TRAIN_GROUP_B_7,0)*$K19</f>
        <v>0</v>
      </c>
      <c r="N19" s="179">
        <f ca="1">OFFSET(Cost_Ingredients!$P$73,DD_FLU_TRAIN_GROUP_B_7,0)*$K19</f>
        <v>0</v>
      </c>
      <c r="O19" s="179">
        <f ca="1">OFFSET(Cost_Ingredients!$Q$73,DD_FLU_TRAIN_GROUP_B_7,0)*$K19</f>
        <v>0</v>
      </c>
      <c r="P19" s="151"/>
    </row>
    <row r="20" spans="3:16" s="23" customFormat="1">
      <c r="D20" s="746">
        <v>1</v>
      </c>
      <c r="E20" s="747"/>
      <c r="F20" s="747"/>
      <c r="G20" s="748"/>
      <c r="H20" s="151"/>
      <c r="I20" s="31">
        <v>1</v>
      </c>
      <c r="J20" s="64">
        <v>0</v>
      </c>
      <c r="K20" s="135">
        <f t="shared" si="0"/>
        <v>0</v>
      </c>
      <c r="L20" s="162">
        <f ca="1">OFFSET(Cost_Ingredients!$N$73,DD_FLU_TRAIN_GROUP_B_8,0)*$K20</f>
        <v>0</v>
      </c>
      <c r="M20" s="162">
        <f ca="1">OFFSET(Cost_Ingredients!$O$73,DD_FLU_TRAIN_GROUP_B_8,0)*$K20</f>
        <v>0</v>
      </c>
      <c r="N20" s="179">
        <f ca="1">OFFSET(Cost_Ingredients!$P$73,DD_FLU_TRAIN_GROUP_B_8,0)*$K20</f>
        <v>0</v>
      </c>
      <c r="O20" s="179">
        <f ca="1">OFFSET(Cost_Ingredients!$Q$73,DD_FLU_TRAIN_GROUP_B_8,0)*$K20</f>
        <v>0</v>
      </c>
      <c r="P20" s="151"/>
    </row>
    <row r="21" spans="3:16" s="23" customFormat="1">
      <c r="D21" s="746">
        <v>1</v>
      </c>
      <c r="E21" s="747"/>
      <c r="F21" s="747"/>
      <c r="G21" s="748"/>
      <c r="H21" s="151"/>
      <c r="I21" s="31">
        <v>1</v>
      </c>
      <c r="J21" s="64">
        <v>0</v>
      </c>
      <c r="K21" s="135">
        <f t="shared" si="0"/>
        <v>0</v>
      </c>
      <c r="L21" s="162">
        <f ca="1">OFFSET(Cost_Ingredients!$N$73,DD_FLU_TRAIN_GROUP_B_9,0)*$K21</f>
        <v>0</v>
      </c>
      <c r="M21" s="162">
        <f ca="1">OFFSET(Cost_Ingredients!$O$73,DD_FLU_TRAIN_GROUP_B_9,0)*$K21</f>
        <v>0</v>
      </c>
      <c r="N21" s="179">
        <f ca="1">OFFSET(Cost_Ingredients!$P$73,DD_FLU_TRAIN_GROUP_B_9,0)*$K21</f>
        <v>0</v>
      </c>
      <c r="O21" s="179">
        <f ca="1">OFFSET(Cost_Ingredients!$Q$73,DD_FLU_TRAIN_GROUP_B_9,0)*$K21</f>
        <v>0</v>
      </c>
      <c r="P21" s="151"/>
    </row>
    <row r="22" spans="3:16" s="23" customFormat="1">
      <c r="D22" s="746">
        <v>1</v>
      </c>
      <c r="E22" s="747"/>
      <c r="F22" s="747"/>
      <c r="G22" s="748"/>
      <c r="H22" s="151"/>
      <c r="I22" s="31">
        <v>1</v>
      </c>
      <c r="J22" s="64">
        <v>0</v>
      </c>
      <c r="K22" s="135">
        <f t="shared" si="0"/>
        <v>0</v>
      </c>
      <c r="L22" s="162">
        <f ca="1">OFFSET(Cost_Ingredients!$N$73,DD_FLU_TRAIN_GROUP_B_10,0)*$K22</f>
        <v>0</v>
      </c>
      <c r="M22" s="162">
        <f ca="1">OFFSET(Cost_Ingredients!$O$73,DD_FLU_TRAIN_GROUP_B_10,0)*$K22</f>
        <v>0</v>
      </c>
      <c r="N22" s="179">
        <f ca="1">OFFSET(Cost_Ingredients!$P$73,DD_FLU_TRAIN_GROUP_B_10,0)*$K22</f>
        <v>0</v>
      </c>
      <c r="O22" s="179">
        <f ca="1">OFFSET(Cost_Ingredients!$Q$73,DD_FLU_TRAIN_GROUP_B_10,0)*$K22</f>
        <v>0</v>
      </c>
      <c r="P22" s="151"/>
    </row>
    <row r="23" spans="3:16" s="23" customFormat="1">
      <c r="D23" s="746">
        <v>1</v>
      </c>
      <c r="E23" s="747"/>
      <c r="F23" s="747"/>
      <c r="G23" s="748"/>
      <c r="H23" s="151"/>
      <c r="I23" s="31">
        <v>1</v>
      </c>
      <c r="J23" s="64">
        <v>0</v>
      </c>
      <c r="K23" s="135">
        <f t="shared" si="0"/>
        <v>0</v>
      </c>
      <c r="L23" s="162">
        <f ca="1">OFFSET(Cost_Ingredients!$N$73,DD_FLU_TRAIN_GROUP_B_11,0)*$K23</f>
        <v>0</v>
      </c>
      <c r="M23" s="162">
        <f ca="1">OFFSET(Cost_Ingredients!$O$73,DD_FLU_TRAIN_GROUP_B_11,0)*$K23</f>
        <v>0</v>
      </c>
      <c r="N23" s="179">
        <f ca="1">OFFSET(Cost_Ingredients!$P$73,DD_FLU_TRAIN_GROUP_B_11,0)*$K23</f>
        <v>0</v>
      </c>
      <c r="O23" s="179">
        <f ca="1">OFFSET(Cost_Ingredients!$Q$73,DD_FLU_TRAIN_GROUP_B_11,0)*$K23</f>
        <v>0</v>
      </c>
      <c r="P23" s="151"/>
    </row>
    <row r="24" spans="3:16" s="23" customFormat="1">
      <c r="D24" s="746">
        <v>1</v>
      </c>
      <c r="E24" s="747"/>
      <c r="F24" s="747"/>
      <c r="G24" s="748"/>
      <c r="H24" s="151"/>
      <c r="I24" s="31">
        <v>1</v>
      </c>
      <c r="J24" s="64">
        <v>0</v>
      </c>
      <c r="K24" s="135">
        <f t="shared" si="0"/>
        <v>0</v>
      </c>
      <c r="L24" s="162">
        <f ca="1">OFFSET(Cost_Ingredients!$N$73,DD_FLU_TRAIN_GROUP_B_12,0)*$K24</f>
        <v>0</v>
      </c>
      <c r="M24" s="162">
        <f ca="1">OFFSET(Cost_Ingredients!$O$73,DD_FLU_TRAIN_GROUP_B_12,0)*$K24</f>
        <v>0</v>
      </c>
      <c r="N24" s="179">
        <f ca="1">OFFSET(Cost_Ingredients!$P$73,DD_FLU_TRAIN_GROUP_B_12,0)*$K24</f>
        <v>0</v>
      </c>
      <c r="O24" s="179">
        <f ca="1">OFFSET(Cost_Ingredients!$Q$73,DD_FLU_TRAIN_GROUP_B_12,0)*$K24</f>
        <v>0</v>
      </c>
      <c r="P24" s="151"/>
    </row>
    <row r="25" spans="3:16" s="23" customFormat="1">
      <c r="D25" s="746">
        <v>1</v>
      </c>
      <c r="E25" s="747"/>
      <c r="F25" s="747"/>
      <c r="G25" s="748"/>
      <c r="H25" s="151"/>
      <c r="I25" s="31">
        <v>1</v>
      </c>
      <c r="J25" s="64">
        <v>0</v>
      </c>
      <c r="K25" s="135">
        <f t="shared" si="0"/>
        <v>0</v>
      </c>
      <c r="L25" s="162">
        <f ca="1">OFFSET(Cost_Ingredients!$N$73,DD_FLU_TRAIN_GROUP_B_13,0)*$K25</f>
        <v>0</v>
      </c>
      <c r="M25" s="162">
        <f ca="1">OFFSET(Cost_Ingredients!$O$73,DD_FLU_TRAIN_GROUP_B_13,0)*$K25</f>
        <v>0</v>
      </c>
      <c r="N25" s="179">
        <f ca="1">OFFSET(Cost_Ingredients!$P$73,DD_FLU_TRAIN_GROUP_B_13,0)*$K25</f>
        <v>0</v>
      </c>
      <c r="O25" s="179">
        <f ca="1">OFFSET(Cost_Ingredients!$Q$73,DD_FLU_TRAIN_GROUP_B_13,0)*$K25</f>
        <v>0</v>
      </c>
      <c r="P25" s="151"/>
    </row>
    <row r="26" spans="3:16" s="23" customFormat="1">
      <c r="D26" s="746">
        <v>1</v>
      </c>
      <c r="E26" s="747"/>
      <c r="F26" s="747"/>
      <c r="G26" s="748"/>
      <c r="H26" s="151"/>
      <c r="I26" s="31">
        <v>1</v>
      </c>
      <c r="J26" s="64">
        <v>0</v>
      </c>
      <c r="K26" s="135">
        <f t="shared" si="0"/>
        <v>0</v>
      </c>
      <c r="L26" s="162">
        <f ca="1">OFFSET(Cost_Ingredients!$N$73,DD_FLU_TRAIN_GROUP_B_14,0)*$K26</f>
        <v>0</v>
      </c>
      <c r="M26" s="162">
        <f ca="1">OFFSET(Cost_Ingredients!$O$73,DD_FLU_TRAIN_GROUP_B_14,0)*$K26</f>
        <v>0</v>
      </c>
      <c r="N26" s="179">
        <f ca="1">OFFSET(Cost_Ingredients!$P$73,DD_FLU_TRAIN_GROUP_B_14,0)*$K26</f>
        <v>0</v>
      </c>
      <c r="O26" s="179">
        <f ca="1">OFFSET(Cost_Ingredients!$Q$73,DD_FLU_TRAIN_GROUP_B_14,0)*$K26</f>
        <v>0</v>
      </c>
      <c r="P26" s="151"/>
    </row>
    <row r="27" spans="3:16" s="23" customFormat="1">
      <c r="D27" s="746">
        <v>1</v>
      </c>
      <c r="E27" s="747"/>
      <c r="F27" s="747"/>
      <c r="G27" s="748"/>
      <c r="H27" s="172"/>
      <c r="I27" s="31">
        <v>1</v>
      </c>
      <c r="J27" s="173">
        <v>0</v>
      </c>
      <c r="K27" s="135">
        <f t="shared" si="0"/>
        <v>0</v>
      </c>
      <c r="L27" s="162">
        <f ca="1">OFFSET(Cost_Ingredients!$N$73,DD_FLU_TRAIN_GROUP_B_15,0)*$K27</f>
        <v>0</v>
      </c>
      <c r="M27" s="162">
        <f ca="1">OFFSET(Cost_Ingredients!$O$73,DD_FLU_TRAIN_GROUP_B_15,0)*$K27</f>
        <v>0</v>
      </c>
      <c r="N27" s="179">
        <f ca="1">OFFSET(Cost_Ingredients!$P$73,DD_FLU_TRAIN_GROUP_B_15,0)*$K27</f>
        <v>0</v>
      </c>
      <c r="O27" s="179">
        <f ca="1">OFFSET(Cost_Ingredients!$Q$73,DD_FLU_TRAIN_GROUP_B_15,0)*$K27</f>
        <v>0</v>
      </c>
      <c r="P27" s="172"/>
    </row>
    <row r="28" spans="3:16" s="23" customFormat="1">
      <c r="D28" s="760" t="s">
        <v>161</v>
      </c>
      <c r="E28" s="761"/>
      <c r="F28" s="761"/>
      <c r="G28" s="761"/>
      <c r="H28" s="156"/>
      <c r="I28" s="69"/>
      <c r="J28" s="69"/>
      <c r="K28" s="18"/>
      <c r="L28" s="181">
        <f ca="1">SUM(L13:L27)</f>
        <v>0</v>
      </c>
      <c r="M28" s="181">
        <f ca="1">SUM(M13:M27)</f>
        <v>0</v>
      </c>
      <c r="N28" s="187">
        <f ca="1">SUM(N13:N27)</f>
        <v>0</v>
      </c>
      <c r="O28" s="187">
        <f ca="1">SUM(O13:O27)</f>
        <v>0</v>
      </c>
      <c r="P28" s="156"/>
    </row>
    <row r="29" spans="3:16" s="23" customFormat="1"/>
    <row r="30" spans="3:16" s="23" customFormat="1">
      <c r="C30" s="153" t="str">
        <f>FLU_LU!$D$279</f>
        <v>Allowances</v>
      </c>
    </row>
    <row r="31" spans="3:16" s="23" customFormat="1" ht="28.8">
      <c r="D31" s="733" t="s">
        <v>100</v>
      </c>
      <c r="E31" s="733"/>
      <c r="F31" s="733"/>
      <c r="G31" s="733"/>
      <c r="H31" s="152" t="s">
        <v>103</v>
      </c>
      <c r="I31" s="152" t="s">
        <v>63</v>
      </c>
      <c r="J31" s="152" t="s">
        <v>67</v>
      </c>
      <c r="L31" s="28" t="str">
        <f>"Financial Price ("&amp;FLU_LU!$D$79&amp;")"</f>
        <v>Financial Price (GOZ)</v>
      </c>
      <c r="M31" s="28" t="str">
        <f>"Economic Price ("&amp;FLU_LU!$D$79&amp;")"</f>
        <v>Economic Price (GOZ)</v>
      </c>
      <c r="N31" s="28" t="str">
        <f>"Financial Price ("&amp;FLU_LU!$D$78&amp;")"</f>
        <v>Financial Price (USD)</v>
      </c>
      <c r="O31" s="28" t="str">
        <f>"Economic Price ("&amp;FLU_LU!$D$78&amp;")"</f>
        <v>Economic Price (USD)</v>
      </c>
      <c r="P31" s="152" t="s">
        <v>68</v>
      </c>
    </row>
    <row r="32" spans="3:16" s="23" customFormat="1">
      <c r="D32" s="746">
        <v>2</v>
      </c>
      <c r="E32" s="746"/>
      <c r="F32" s="746"/>
      <c r="G32" s="749"/>
      <c r="H32" s="667" t="s">
        <v>153</v>
      </c>
      <c r="I32" s="667"/>
      <c r="J32" s="64">
        <v>4</v>
      </c>
      <c r="L32" s="169">
        <f ca="1">OFFSET(Cost_Ingredients!$N$103,$D32,0)*$J32</f>
        <v>22000</v>
      </c>
      <c r="M32" s="169">
        <f ca="1">OFFSET(Cost_Ingredients!$O$103,$D32,0)*$J32</f>
        <v>22000</v>
      </c>
      <c r="N32" s="176">
        <f ca="1">OFFSET(Cost_Ingredients!$P$103,$D32,0)*$J32</f>
        <v>146.66666666666666</v>
      </c>
      <c r="O32" s="176">
        <f ca="1">OFFSET(Cost_Ingredients!$Q$103,$D32,0)*$J32</f>
        <v>146.66666666666666</v>
      </c>
      <c r="P32" s="151"/>
    </row>
    <row r="33" spans="3:16" s="23" customFormat="1">
      <c r="D33" s="746">
        <v>1</v>
      </c>
      <c r="E33" s="746"/>
      <c r="F33" s="746"/>
      <c r="G33" s="749"/>
      <c r="H33" s="667" t="s">
        <v>153</v>
      </c>
      <c r="I33" s="667"/>
      <c r="J33" s="64"/>
      <c r="L33" s="169">
        <f ca="1">OFFSET(Cost_Ingredients!$N$103,$D33,0)*$J33</f>
        <v>0</v>
      </c>
      <c r="M33" s="169">
        <f ca="1">OFFSET(Cost_Ingredients!$O$103,$D33,0)*$J33</f>
        <v>0</v>
      </c>
      <c r="N33" s="176">
        <f ca="1">OFFSET(Cost_Ingredients!$P$103,$D33,0)*$J33</f>
        <v>0</v>
      </c>
      <c r="O33" s="176">
        <f ca="1">OFFSET(Cost_Ingredients!$Q$103,$D33,0)*$J33</f>
        <v>0</v>
      </c>
      <c r="P33" s="151"/>
    </row>
    <row r="34" spans="3:16" s="23" customFormat="1">
      <c r="D34" s="746">
        <v>1</v>
      </c>
      <c r="E34" s="746"/>
      <c r="F34" s="746"/>
      <c r="G34" s="749"/>
      <c r="H34" s="667" t="s">
        <v>153</v>
      </c>
      <c r="I34" s="667"/>
      <c r="J34" s="64"/>
      <c r="L34" s="169">
        <f ca="1">OFFSET(Cost_Ingredients!$N$103,$D34,0)*$J34</f>
        <v>0</v>
      </c>
      <c r="M34" s="169">
        <f ca="1">OFFSET(Cost_Ingredients!$O$103,$D34,0)*$J34</f>
        <v>0</v>
      </c>
      <c r="N34" s="176">
        <f ca="1">OFFSET(Cost_Ingredients!$P$103,$D34,0)*$J34</f>
        <v>0</v>
      </c>
      <c r="O34" s="176">
        <f ca="1">OFFSET(Cost_Ingredients!$Q$103,$D34,0)*$J34</f>
        <v>0</v>
      </c>
      <c r="P34" s="151"/>
    </row>
    <row r="35" spans="3:16" s="23" customFormat="1">
      <c r="D35" s="746">
        <v>1</v>
      </c>
      <c r="E35" s="746"/>
      <c r="F35" s="746"/>
      <c r="G35" s="749"/>
      <c r="H35" s="667" t="s">
        <v>153</v>
      </c>
      <c r="I35" s="667"/>
      <c r="J35" s="64"/>
      <c r="L35" s="169">
        <f ca="1">OFFSET(Cost_Ingredients!$N$103,$D35,0)*$J35</f>
        <v>0</v>
      </c>
      <c r="M35" s="169">
        <f ca="1">OFFSET(Cost_Ingredients!$O$103,$D35,0)*$J35</f>
        <v>0</v>
      </c>
      <c r="N35" s="176">
        <f ca="1">OFFSET(Cost_Ingredients!$P$103,$D35,0)*$J35</f>
        <v>0</v>
      </c>
      <c r="O35" s="176">
        <f ca="1">OFFSET(Cost_Ingredients!$Q$103,$D35,0)*$J35</f>
        <v>0</v>
      </c>
      <c r="P35" s="151"/>
    </row>
    <row r="36" spans="3:16" s="23" customFormat="1">
      <c r="D36" s="746">
        <v>1</v>
      </c>
      <c r="E36" s="746"/>
      <c r="F36" s="746"/>
      <c r="G36" s="749"/>
      <c r="H36" s="745" t="s">
        <v>153</v>
      </c>
      <c r="I36" s="745"/>
      <c r="J36" s="173"/>
      <c r="L36" s="169">
        <f ca="1">OFFSET(Cost_Ingredients!$N$103,$D36,0)*$J36</f>
        <v>0</v>
      </c>
      <c r="M36" s="169">
        <f ca="1">OFFSET(Cost_Ingredients!$O$103,$D36,0)*$J36</f>
        <v>0</v>
      </c>
      <c r="N36" s="176">
        <f ca="1">OFFSET(Cost_Ingredients!$P$103,$D36,0)*$J36</f>
        <v>0</v>
      </c>
      <c r="O36" s="176">
        <f ca="1">OFFSET(Cost_Ingredients!$Q$103,$D36,0)*$J36</f>
        <v>0</v>
      </c>
      <c r="P36" s="172"/>
    </row>
    <row r="37" spans="3:16" s="23" customFormat="1">
      <c r="D37" s="762" t="s">
        <v>161</v>
      </c>
      <c r="E37" s="762"/>
      <c r="F37" s="762"/>
      <c r="G37" s="762"/>
      <c r="H37" s="156"/>
      <c r="I37" s="156"/>
      <c r="J37" s="69"/>
      <c r="L37" s="59">
        <f ca="1">SUM(L32:L36)</f>
        <v>22000</v>
      </c>
      <c r="M37" s="59">
        <f ca="1">SUM(M32:M36)</f>
        <v>22000</v>
      </c>
      <c r="N37" s="45">
        <f ca="1">SUM(N32:N36)</f>
        <v>146.66666666666666</v>
      </c>
      <c r="O37" s="45">
        <f ca="1">SUM(O32:O36)</f>
        <v>146.66666666666666</v>
      </c>
      <c r="P37" s="156"/>
    </row>
    <row r="38" spans="3:16" s="23" customFormat="1"/>
    <row r="39" spans="3:16" s="23" customFormat="1">
      <c r="C39" s="153" t="str">
        <f>FLU_LU!$D$280</f>
        <v>Supplies &amp; Materials</v>
      </c>
    </row>
    <row r="40" spans="3:16" s="23" customFormat="1" ht="28.8">
      <c r="D40" s="733" t="s">
        <v>100</v>
      </c>
      <c r="E40" s="733"/>
      <c r="F40" s="733"/>
      <c r="G40" s="733"/>
      <c r="H40" s="152" t="s">
        <v>104</v>
      </c>
      <c r="I40" s="152" t="s">
        <v>63</v>
      </c>
      <c r="J40" s="152" t="s">
        <v>67</v>
      </c>
      <c r="L40" s="28" t="str">
        <f>"Financial Price ("&amp;FLU_LU!$D$79&amp;")"</f>
        <v>Financial Price (GOZ)</v>
      </c>
      <c r="M40" s="28" t="str">
        <f>"Economic Price ("&amp;FLU_LU!$D$79&amp;")"</f>
        <v>Economic Price (GOZ)</v>
      </c>
      <c r="N40" s="28" t="str">
        <f>"Financial Price ("&amp;FLU_LU!$D$78&amp;")"</f>
        <v>Financial Price (USD)</v>
      </c>
      <c r="O40" s="28" t="str">
        <f>"Economic Price ("&amp;FLU_LU!$D$78&amp;")"</f>
        <v>Economic Price (USD)</v>
      </c>
      <c r="P40" s="152" t="s">
        <v>68</v>
      </c>
    </row>
    <row r="41" spans="3:16" s="23" customFormat="1">
      <c r="D41" s="746">
        <v>3</v>
      </c>
      <c r="E41" s="746"/>
      <c r="F41" s="746"/>
      <c r="G41" s="749"/>
      <c r="H41" s="151" t="s">
        <v>153</v>
      </c>
      <c r="I41" s="169" t="str">
        <f ca="1">OFFSET(Cost_Ingredients!$M$117,$D41,0)</f>
        <v>pz</v>
      </c>
      <c r="J41" s="64">
        <v>4</v>
      </c>
      <c r="L41" s="169">
        <f ca="1">OFFSET(Cost_Ingredients!N$117,$D41,0)*$J41</f>
        <v>4</v>
      </c>
      <c r="M41" s="169">
        <f ca="1">OFFSET(Cost_Ingredients!O$117,$D41,0)*$J41</f>
        <v>24</v>
      </c>
      <c r="N41" s="176">
        <f ca="1">OFFSET(Cost_Ingredients!P$117,$D41,0)*$J41</f>
        <v>2.6666666666666668E-2</v>
      </c>
      <c r="O41" s="176">
        <f ca="1">OFFSET(Cost_Ingredients!Q$117,$D41,0)*$J41</f>
        <v>0.16</v>
      </c>
      <c r="P41" s="151"/>
    </row>
    <row r="42" spans="3:16" s="23" customFormat="1">
      <c r="D42" s="746">
        <v>4</v>
      </c>
      <c r="E42" s="746"/>
      <c r="F42" s="746"/>
      <c r="G42" s="749"/>
      <c r="H42" s="151" t="s">
        <v>153</v>
      </c>
      <c r="I42" s="169" t="str">
        <f ca="1">OFFSET(Cost_Ingredients!$M$117,$D42,0)</f>
        <v>pz</v>
      </c>
      <c r="J42" s="64">
        <v>4</v>
      </c>
      <c r="L42" s="169">
        <f ca="1">OFFSET(Cost_Ingredients!N$117,$D42,0)*$J42</f>
        <v>28.8</v>
      </c>
      <c r="M42" s="169">
        <f ca="1">OFFSET(Cost_Ingredients!O$117,$D42,0)*$J42</f>
        <v>28.8</v>
      </c>
      <c r="N42" s="176">
        <f ca="1">OFFSET(Cost_Ingredients!P$117,$D42,0)*$J42</f>
        <v>0.192</v>
      </c>
      <c r="O42" s="176">
        <f ca="1">OFFSET(Cost_Ingredients!Q$117,$D42,0)*$J42</f>
        <v>0.192</v>
      </c>
      <c r="P42" s="151"/>
    </row>
    <row r="43" spans="3:16" s="23" customFormat="1">
      <c r="D43" s="746">
        <v>1</v>
      </c>
      <c r="E43" s="746"/>
      <c r="F43" s="746"/>
      <c r="G43" s="749"/>
      <c r="H43" s="151" t="s">
        <v>153</v>
      </c>
      <c r="I43" s="169">
        <f ca="1">OFFSET(Cost_Ingredients!$M$117,$D43,0)</f>
        <v>0</v>
      </c>
      <c r="J43" s="64">
        <v>0</v>
      </c>
      <c r="L43" s="169">
        <f ca="1">OFFSET(Cost_Ingredients!N$117,$D43,0)*$J43</f>
        <v>0</v>
      </c>
      <c r="M43" s="169">
        <f ca="1">OFFSET(Cost_Ingredients!O$117,$D43,0)*$J43</f>
        <v>0</v>
      </c>
      <c r="N43" s="176">
        <f ca="1">OFFSET(Cost_Ingredients!P$117,$D43,0)*$J43</f>
        <v>0</v>
      </c>
      <c r="O43" s="176">
        <f ca="1">OFFSET(Cost_Ingredients!Q$117,$D43,0)*$J43</f>
        <v>0</v>
      </c>
      <c r="P43" s="151"/>
    </row>
    <row r="44" spans="3:16" s="23" customFormat="1">
      <c r="D44" s="746">
        <v>1</v>
      </c>
      <c r="E44" s="746"/>
      <c r="F44" s="746"/>
      <c r="G44" s="749"/>
      <c r="H44" s="151" t="s">
        <v>153</v>
      </c>
      <c r="I44" s="169">
        <f ca="1">OFFSET(Cost_Ingredients!$M$117,$D44,0)</f>
        <v>0</v>
      </c>
      <c r="J44" s="64">
        <v>0</v>
      </c>
      <c r="L44" s="169">
        <f ca="1">OFFSET(Cost_Ingredients!N$117,$D44,0)*$J44</f>
        <v>0</v>
      </c>
      <c r="M44" s="169">
        <f ca="1">OFFSET(Cost_Ingredients!O$117,$D44,0)*$J44</f>
        <v>0</v>
      </c>
      <c r="N44" s="176">
        <f ca="1">OFFSET(Cost_Ingredients!P$117,$D44,0)*$J44</f>
        <v>0</v>
      </c>
      <c r="O44" s="176">
        <f ca="1">OFFSET(Cost_Ingredients!Q$117,$D44,0)*$J44</f>
        <v>0</v>
      </c>
      <c r="P44" s="151"/>
    </row>
    <row r="45" spans="3:16" s="23" customFormat="1">
      <c r="D45" s="746">
        <v>1</v>
      </c>
      <c r="E45" s="746"/>
      <c r="F45" s="746"/>
      <c r="G45" s="749"/>
      <c r="H45" s="151" t="s">
        <v>153</v>
      </c>
      <c r="I45" s="169">
        <f ca="1">OFFSET(Cost_Ingredients!$M$117,$D45,0)</f>
        <v>0</v>
      </c>
      <c r="J45" s="64">
        <v>0</v>
      </c>
      <c r="L45" s="169">
        <f ca="1">OFFSET(Cost_Ingredients!N$117,$D45,0)*$J45</f>
        <v>0</v>
      </c>
      <c r="M45" s="169">
        <f ca="1">OFFSET(Cost_Ingredients!O$117,$D45,0)*$J45</f>
        <v>0</v>
      </c>
      <c r="N45" s="176">
        <f ca="1">OFFSET(Cost_Ingredients!P$117,$D45,0)*$J45</f>
        <v>0</v>
      </c>
      <c r="O45" s="176">
        <f ca="1">OFFSET(Cost_Ingredients!Q$117,$D45,0)*$J45</f>
        <v>0</v>
      </c>
      <c r="P45" s="151"/>
    </row>
    <row r="46" spans="3:16" s="23" customFormat="1">
      <c r="D46" s="746">
        <v>1</v>
      </c>
      <c r="E46" s="746"/>
      <c r="F46" s="746"/>
      <c r="G46" s="749"/>
      <c r="H46" s="151"/>
      <c r="I46" s="169">
        <f ca="1">OFFSET(Cost_Ingredients!$M$117,$D46,0)</f>
        <v>0</v>
      </c>
      <c r="J46" s="64">
        <v>0</v>
      </c>
      <c r="L46" s="169">
        <f ca="1">OFFSET(Cost_Ingredients!N$117,$D46,0)*$J46</f>
        <v>0</v>
      </c>
      <c r="M46" s="169">
        <f ca="1">OFFSET(Cost_Ingredients!O$117,$D46,0)*$J46</f>
        <v>0</v>
      </c>
      <c r="N46" s="176">
        <f ca="1">OFFSET(Cost_Ingredients!P$117,$D46,0)*$J46</f>
        <v>0</v>
      </c>
      <c r="O46" s="176">
        <f ca="1">OFFSET(Cost_Ingredients!Q$117,$D46,0)*$J46</f>
        <v>0</v>
      </c>
      <c r="P46" s="151"/>
    </row>
    <row r="47" spans="3:16" s="23" customFormat="1">
      <c r="D47" s="746">
        <v>1</v>
      </c>
      <c r="E47" s="746"/>
      <c r="F47" s="746"/>
      <c r="G47" s="749"/>
      <c r="H47" s="151"/>
      <c r="I47" s="169">
        <f ca="1">OFFSET(Cost_Ingredients!$M$117,$D47,0)</f>
        <v>0</v>
      </c>
      <c r="J47" s="64">
        <v>0</v>
      </c>
      <c r="L47" s="169">
        <f ca="1">OFFSET(Cost_Ingredients!N$117,$D47,0)*$J47</f>
        <v>0</v>
      </c>
      <c r="M47" s="169">
        <f ca="1">OFFSET(Cost_Ingredients!O$117,$D47,0)*$J47</f>
        <v>0</v>
      </c>
      <c r="N47" s="176">
        <f ca="1">OFFSET(Cost_Ingredients!P$117,$D47,0)*$J47</f>
        <v>0</v>
      </c>
      <c r="O47" s="176">
        <f ca="1">OFFSET(Cost_Ingredients!Q$117,$D47,0)*$J47</f>
        <v>0</v>
      </c>
      <c r="P47" s="151"/>
    </row>
    <row r="48" spans="3:16" s="23" customFormat="1">
      <c r="D48" s="746">
        <v>1</v>
      </c>
      <c r="E48" s="746"/>
      <c r="F48" s="746"/>
      <c r="G48" s="749"/>
      <c r="H48" s="151"/>
      <c r="I48" s="169">
        <f ca="1">OFFSET(Cost_Ingredients!$M$117,$D48,0)</f>
        <v>0</v>
      </c>
      <c r="J48" s="64">
        <v>0</v>
      </c>
      <c r="L48" s="169">
        <f ca="1">OFFSET(Cost_Ingredients!N$117,$D48,0)*$J48</f>
        <v>0</v>
      </c>
      <c r="M48" s="169">
        <f ca="1">OFFSET(Cost_Ingredients!O$117,$D48,0)*$J48</f>
        <v>0</v>
      </c>
      <c r="N48" s="176">
        <f ca="1">OFFSET(Cost_Ingredients!P$117,$D48,0)*$J48</f>
        <v>0</v>
      </c>
      <c r="O48" s="176">
        <f ca="1">OFFSET(Cost_Ingredients!Q$117,$D48,0)*$J48</f>
        <v>0</v>
      </c>
      <c r="P48" s="151"/>
    </row>
    <row r="49" spans="3:16" s="23" customFormat="1">
      <c r="D49" s="746">
        <v>1</v>
      </c>
      <c r="E49" s="746"/>
      <c r="F49" s="746"/>
      <c r="G49" s="749"/>
      <c r="H49" s="151"/>
      <c r="I49" s="169">
        <f ca="1">OFFSET(Cost_Ingredients!$M$117,$D49,0)</f>
        <v>0</v>
      </c>
      <c r="J49" s="64">
        <v>0</v>
      </c>
      <c r="L49" s="169">
        <f ca="1">OFFSET(Cost_Ingredients!N$117,$D49,0)*$J49</f>
        <v>0</v>
      </c>
      <c r="M49" s="169">
        <f ca="1">OFFSET(Cost_Ingredients!O$117,$D49,0)*$J49</f>
        <v>0</v>
      </c>
      <c r="N49" s="176">
        <f ca="1">OFFSET(Cost_Ingredients!P$117,$D49,0)*$J49</f>
        <v>0</v>
      </c>
      <c r="O49" s="176">
        <f ca="1">OFFSET(Cost_Ingredients!Q$117,$D49,0)*$J49</f>
        <v>0</v>
      </c>
      <c r="P49" s="151"/>
    </row>
    <row r="50" spans="3:16" s="23" customFormat="1">
      <c r="D50" s="746">
        <v>1</v>
      </c>
      <c r="E50" s="746"/>
      <c r="F50" s="746"/>
      <c r="G50" s="749"/>
      <c r="H50" s="172"/>
      <c r="I50" s="169">
        <f ca="1">OFFSET(Cost_Ingredients!$M$117,$D50,0)</f>
        <v>0</v>
      </c>
      <c r="J50" s="173">
        <v>0</v>
      </c>
      <c r="L50" s="169">
        <f ca="1">OFFSET(Cost_Ingredients!N$117,$D50,0)*$J50</f>
        <v>0</v>
      </c>
      <c r="M50" s="169">
        <f ca="1">OFFSET(Cost_Ingredients!O$117,$D50,0)*$J50</f>
        <v>0</v>
      </c>
      <c r="N50" s="176">
        <f ca="1">OFFSET(Cost_Ingredients!P$117,$D50,0)*$J50</f>
        <v>0</v>
      </c>
      <c r="O50" s="176">
        <f ca="1">OFFSET(Cost_Ingredients!Q$117,$D50,0)*$J50</f>
        <v>0</v>
      </c>
      <c r="P50" s="172"/>
    </row>
    <row r="51" spans="3:16" s="23" customFormat="1">
      <c r="D51" s="762" t="s">
        <v>161</v>
      </c>
      <c r="E51" s="762"/>
      <c r="F51" s="762"/>
      <c r="G51" s="762"/>
      <c r="H51" s="156"/>
      <c r="I51" s="69"/>
      <c r="J51" s="69"/>
      <c r="L51" s="59">
        <f ca="1">SUM(L41:L50)</f>
        <v>32.799999999999997</v>
      </c>
      <c r="M51" s="59">
        <f ca="1">SUM(M41:M50)</f>
        <v>52.8</v>
      </c>
      <c r="N51" s="45">
        <f ca="1">SUM(N41:N50)</f>
        <v>0.21866666666666668</v>
      </c>
      <c r="O51" s="45">
        <f ca="1">SUM(O41:O50)</f>
        <v>0.35199999999999998</v>
      </c>
      <c r="P51" s="156"/>
    </row>
    <row r="52" spans="3:16" s="23" customFormat="1"/>
    <row r="53" spans="3:16" s="23" customFormat="1">
      <c r="C53" s="153" t="str">
        <f>FLU_LU!$D$281</f>
        <v>Other Direct Costs (Recurrent)</v>
      </c>
    </row>
    <row r="54" spans="3:16" s="23" customFormat="1" ht="28.8">
      <c r="D54" s="733" t="s">
        <v>100</v>
      </c>
      <c r="E54" s="733"/>
      <c r="F54" s="733"/>
      <c r="G54" s="733"/>
      <c r="H54" s="152" t="s">
        <v>102</v>
      </c>
      <c r="I54" s="152" t="s">
        <v>63</v>
      </c>
      <c r="J54" s="152" t="s">
        <v>67</v>
      </c>
      <c r="L54" s="28" t="str">
        <f>"Financial Price ("&amp;FLU_LU!$D$79&amp;")"</f>
        <v>Financial Price (GOZ)</v>
      </c>
      <c r="M54" s="28" t="str">
        <f>"Economic Price ("&amp;FLU_LU!$D$79&amp;")"</f>
        <v>Economic Price (GOZ)</v>
      </c>
      <c r="N54" s="28" t="str">
        <f>"Financial Price ("&amp;FLU_LU!$D$78&amp;")"</f>
        <v>Financial Price (USD)</v>
      </c>
      <c r="O54" s="28" t="str">
        <f>"Economic Price ("&amp;FLU_LU!$D$78&amp;")"</f>
        <v>Economic Price (USD)</v>
      </c>
      <c r="P54" s="152" t="s">
        <v>68</v>
      </c>
    </row>
    <row r="55" spans="3:16" s="23" customFormat="1">
      <c r="D55" s="746">
        <v>2</v>
      </c>
      <c r="E55" s="746"/>
      <c r="F55" s="746"/>
      <c r="G55" s="749"/>
      <c r="H55" s="151" t="s">
        <v>153</v>
      </c>
      <c r="I55" s="169" t="str">
        <f ca="1">OFFSET(Cost_Ingredients!$M$146,$D55,0)</f>
        <v>litre</v>
      </c>
      <c r="J55" s="64">
        <v>2</v>
      </c>
      <c r="L55" s="169">
        <f ca="1">OFFSET(Cost_Ingredients!N$146,$D55,0)*$J55</f>
        <v>340</v>
      </c>
      <c r="M55" s="169">
        <f ca="1">OFFSET(Cost_Ingredients!O$146,$D55,0)*$J55</f>
        <v>340</v>
      </c>
      <c r="N55" s="176">
        <f ca="1">OFFSET(Cost_Ingredients!P$146,$D55,0)*$J55</f>
        <v>2.2666666666666666</v>
      </c>
      <c r="O55" s="176">
        <f ca="1">OFFSET(Cost_Ingredients!Q$146,$D55,0)*$J55</f>
        <v>2.2666666666666666</v>
      </c>
      <c r="P55" s="151"/>
    </row>
    <row r="56" spans="3:16" s="23" customFormat="1">
      <c r="D56" s="746">
        <v>1</v>
      </c>
      <c r="E56" s="746"/>
      <c r="F56" s="746"/>
      <c r="G56" s="749"/>
      <c r="H56" s="151" t="s">
        <v>153</v>
      </c>
      <c r="I56" s="169">
        <f ca="1">OFFSET(Cost_Ingredients!$M$146,$D56,0)</f>
        <v>0</v>
      </c>
      <c r="J56" s="64"/>
      <c r="L56" s="169">
        <f ca="1">OFFSET(Cost_Ingredients!N$146,$D56,0)*$J56</f>
        <v>0</v>
      </c>
      <c r="M56" s="169">
        <f ca="1">OFFSET(Cost_Ingredients!O$146,$D56,0)*$J56</f>
        <v>0</v>
      </c>
      <c r="N56" s="176">
        <f ca="1">OFFSET(Cost_Ingredients!P$146,$D56,0)*$J56</f>
        <v>0</v>
      </c>
      <c r="O56" s="176">
        <f ca="1">OFFSET(Cost_Ingredients!Q$146,$D56,0)*$J56</f>
        <v>0</v>
      </c>
      <c r="P56" s="151"/>
    </row>
    <row r="57" spans="3:16" s="23" customFormat="1">
      <c r="D57" s="746">
        <v>1</v>
      </c>
      <c r="E57" s="746"/>
      <c r="F57" s="746"/>
      <c r="G57" s="749"/>
      <c r="H57" s="151" t="s">
        <v>153</v>
      </c>
      <c r="I57" s="169">
        <f ca="1">OFFSET(Cost_Ingredients!$M$146,$D57,0)</f>
        <v>0</v>
      </c>
      <c r="J57" s="64"/>
      <c r="L57" s="169">
        <f ca="1">OFFSET(Cost_Ingredients!N$146,$D57,0)*$J57</f>
        <v>0</v>
      </c>
      <c r="M57" s="169">
        <f ca="1">OFFSET(Cost_Ingredients!O$146,$D57,0)*$J57</f>
        <v>0</v>
      </c>
      <c r="N57" s="176">
        <f ca="1">OFFSET(Cost_Ingredients!P$146,$D57,0)*$J57</f>
        <v>0</v>
      </c>
      <c r="O57" s="176">
        <f ca="1">OFFSET(Cost_Ingredients!Q$146,$D57,0)*$J57</f>
        <v>0</v>
      </c>
      <c r="P57" s="151"/>
    </row>
    <row r="58" spans="3:16" s="23" customFormat="1">
      <c r="D58" s="746">
        <v>1</v>
      </c>
      <c r="E58" s="746"/>
      <c r="F58" s="746"/>
      <c r="G58" s="749"/>
      <c r="H58" s="151" t="s">
        <v>153</v>
      </c>
      <c r="I58" s="169">
        <f ca="1">OFFSET(Cost_Ingredients!$M$146,$D58,0)</f>
        <v>0</v>
      </c>
      <c r="J58" s="64"/>
      <c r="L58" s="169">
        <f ca="1">OFFSET(Cost_Ingredients!N$146,$D58,0)*$J58</f>
        <v>0</v>
      </c>
      <c r="M58" s="169">
        <f ca="1">OFFSET(Cost_Ingredients!O$146,$D58,0)*$J58</f>
        <v>0</v>
      </c>
      <c r="N58" s="176">
        <f ca="1">OFFSET(Cost_Ingredients!P$146,$D58,0)*$J58</f>
        <v>0</v>
      </c>
      <c r="O58" s="176">
        <f ca="1">OFFSET(Cost_Ingredients!Q$146,$D58,0)*$J58</f>
        <v>0</v>
      </c>
      <c r="P58" s="151"/>
    </row>
    <row r="59" spans="3:16" s="23" customFormat="1">
      <c r="D59" s="746">
        <v>1</v>
      </c>
      <c r="E59" s="746"/>
      <c r="F59" s="746"/>
      <c r="G59" s="749"/>
      <c r="H59" s="151" t="s">
        <v>153</v>
      </c>
      <c r="I59" s="169">
        <f ca="1">OFFSET(Cost_Ingredients!$M$146,$D59,0)</f>
        <v>0</v>
      </c>
      <c r="J59" s="64"/>
      <c r="L59" s="169">
        <f ca="1">OFFSET(Cost_Ingredients!N$146,$D59,0)*$J59</f>
        <v>0</v>
      </c>
      <c r="M59" s="169">
        <f ca="1">OFFSET(Cost_Ingredients!O$146,$D59,0)*$J59</f>
        <v>0</v>
      </c>
      <c r="N59" s="176">
        <f ca="1">OFFSET(Cost_Ingredients!P$146,$D59,0)*$J59</f>
        <v>0</v>
      </c>
      <c r="O59" s="176">
        <f ca="1">OFFSET(Cost_Ingredients!Q$146,$D59,0)*$J59</f>
        <v>0</v>
      </c>
      <c r="P59" s="151"/>
    </row>
    <row r="60" spans="3:16" s="23" customFormat="1">
      <c r="D60" s="746">
        <v>1</v>
      </c>
      <c r="E60" s="746"/>
      <c r="F60" s="746"/>
      <c r="G60" s="749"/>
      <c r="H60" s="151" t="s">
        <v>153</v>
      </c>
      <c r="I60" s="169">
        <f ca="1">OFFSET(Cost_Ingredients!$M$146,$D60,0)</f>
        <v>0</v>
      </c>
      <c r="J60" s="64"/>
      <c r="L60" s="169">
        <f ca="1">OFFSET(Cost_Ingredients!N$146,$D60,0)*$J60</f>
        <v>0</v>
      </c>
      <c r="M60" s="169">
        <f ca="1">OFFSET(Cost_Ingredients!O$146,$D60,0)*$J60</f>
        <v>0</v>
      </c>
      <c r="N60" s="176">
        <f ca="1">OFFSET(Cost_Ingredients!P$146,$D60,0)*$J60</f>
        <v>0</v>
      </c>
      <c r="O60" s="176">
        <f ca="1">OFFSET(Cost_Ingredients!Q$146,$D60,0)*$J60</f>
        <v>0</v>
      </c>
      <c r="P60" s="151"/>
    </row>
    <row r="61" spans="3:16" s="23" customFormat="1">
      <c r="D61" s="746">
        <v>1</v>
      </c>
      <c r="E61" s="746"/>
      <c r="F61" s="746"/>
      <c r="G61" s="749"/>
      <c r="H61" s="151" t="s">
        <v>153</v>
      </c>
      <c r="I61" s="169">
        <f ca="1">OFFSET(Cost_Ingredients!$M$146,$D61,0)</f>
        <v>0</v>
      </c>
      <c r="J61" s="64"/>
      <c r="L61" s="169">
        <f ca="1">OFFSET(Cost_Ingredients!N$146,$D61,0)*$J61</f>
        <v>0</v>
      </c>
      <c r="M61" s="169">
        <f ca="1">OFFSET(Cost_Ingredients!O$146,$D61,0)*$J61</f>
        <v>0</v>
      </c>
      <c r="N61" s="176">
        <f ca="1">OFFSET(Cost_Ingredients!P$146,$D61,0)*$J61</f>
        <v>0</v>
      </c>
      <c r="O61" s="176">
        <f ca="1">OFFSET(Cost_Ingredients!Q$146,$D61,0)*$J61</f>
        <v>0</v>
      </c>
      <c r="P61" s="151"/>
    </row>
    <row r="62" spans="3:16" s="23" customFormat="1">
      <c r="D62" s="746">
        <v>1</v>
      </c>
      <c r="E62" s="746"/>
      <c r="F62" s="746"/>
      <c r="G62" s="749"/>
      <c r="H62" s="151" t="s">
        <v>153</v>
      </c>
      <c r="I62" s="169">
        <f ca="1">OFFSET(Cost_Ingredients!$M$146,$D62,0)</f>
        <v>0</v>
      </c>
      <c r="J62" s="64"/>
      <c r="L62" s="169">
        <f ca="1">OFFSET(Cost_Ingredients!N$146,$D62,0)*$J62</f>
        <v>0</v>
      </c>
      <c r="M62" s="169">
        <f ca="1">OFFSET(Cost_Ingredients!O$146,$D62,0)*$J62</f>
        <v>0</v>
      </c>
      <c r="N62" s="176">
        <f ca="1">OFFSET(Cost_Ingredients!P$146,$D62,0)*$J62</f>
        <v>0</v>
      </c>
      <c r="O62" s="176">
        <f ca="1">OFFSET(Cost_Ingredients!Q$146,$D62,0)*$J62</f>
        <v>0</v>
      </c>
      <c r="P62" s="151"/>
    </row>
    <row r="63" spans="3:16" s="23" customFormat="1">
      <c r="D63" s="746">
        <v>1</v>
      </c>
      <c r="E63" s="746"/>
      <c r="F63" s="746"/>
      <c r="G63" s="749"/>
      <c r="H63" s="172" t="s">
        <v>153</v>
      </c>
      <c r="I63" s="169">
        <f ca="1">OFFSET(Cost_Ingredients!$M$146,$D63,0)</f>
        <v>0</v>
      </c>
      <c r="J63" s="173"/>
      <c r="L63" s="169">
        <f ca="1">OFFSET(Cost_Ingredients!N$146,$D63,0)*$J63</f>
        <v>0</v>
      </c>
      <c r="M63" s="169">
        <f ca="1">OFFSET(Cost_Ingredients!O$146,$D63,0)*$J63</f>
        <v>0</v>
      </c>
      <c r="N63" s="176">
        <f ca="1">OFFSET(Cost_Ingredients!P$146,$D63,0)*$J63</f>
        <v>0</v>
      </c>
      <c r="O63" s="176">
        <f ca="1">OFFSET(Cost_Ingredients!Q$146,$D63,0)*$J63</f>
        <v>0</v>
      </c>
      <c r="P63" s="172"/>
    </row>
    <row r="64" spans="3:16" s="23" customFormat="1">
      <c r="D64" s="762" t="s">
        <v>161</v>
      </c>
      <c r="E64" s="762"/>
      <c r="F64" s="762"/>
      <c r="G64" s="762"/>
      <c r="H64" s="156"/>
      <c r="I64" s="156"/>
      <c r="J64" s="69"/>
      <c r="L64" s="59">
        <f ca="1">SUM(L55:L63)</f>
        <v>340</v>
      </c>
      <c r="M64" s="59">
        <f ca="1">SUM(M55:M63)</f>
        <v>340</v>
      </c>
      <c r="N64" s="45">
        <f ca="1">SUM(N55:N63)</f>
        <v>2.2666666666666666</v>
      </c>
      <c r="O64" s="45">
        <f ca="1">SUM(O55:O63)</f>
        <v>2.2666666666666666</v>
      </c>
      <c r="P64" s="156"/>
    </row>
    <row r="65" spans="2:16" s="23" customFormat="1">
      <c r="L65" s="12"/>
      <c r="M65" s="12"/>
      <c r="N65" s="12"/>
      <c r="O65" s="12"/>
    </row>
    <row r="66" spans="2:16" s="23" customFormat="1" ht="15" thickBot="1">
      <c r="C66" s="110" t="str">
        <f>HL_FLU_Itemized_Train_A</f>
        <v>Detailed Cost Estimate: Public Health Directorate Training</v>
      </c>
      <c r="L66" s="57">
        <f ca="1">SUM(L28,L37,L51,L64)</f>
        <v>22372.799999999999</v>
      </c>
      <c r="M66" s="57">
        <f ca="1">SUM(M28,M37,M51,M64)</f>
        <v>22392.799999999999</v>
      </c>
      <c r="N66" s="58">
        <f ca="1">SUM(N28,N37,N51,N64)</f>
        <v>149.15200000000002</v>
      </c>
      <c r="O66" s="58">
        <f ca="1">SUM(O28,O37,O51,O64)</f>
        <v>149.28533333333334</v>
      </c>
    </row>
    <row r="67" spans="2:16" s="23" customFormat="1" ht="15" thickTop="1"/>
    <row r="68" spans="2:16" s="23" customFormat="1"/>
    <row r="69" spans="2:16" s="23" customFormat="1" ht="17.399999999999999">
      <c r="B69" s="81" t="str">
        <f>"Detailed Cost Estimate: "&amp;FLU_LU!$D$335</f>
        <v>Detailed Cost Estimate: District Epidemiologists Meet w/ Health Facility Teams to Prepare</v>
      </c>
    </row>
    <row r="70" spans="2:16" s="23" customFormat="1"/>
    <row r="71" spans="2:16" s="23" customFormat="1">
      <c r="F71" s="152" t="s">
        <v>691</v>
      </c>
      <c r="H71" s="160" t="str">
        <f>TRAIN!$G$17</f>
        <v>Info/promo/schedules received by Health Facility Teams</v>
      </c>
    </row>
    <row r="72" spans="2:16" s="23" customFormat="1"/>
    <row r="73" spans="2:16" s="23" customFormat="1">
      <c r="C73" s="160" t="str">
        <f>FLU_LU!$D$278</f>
        <v xml:space="preserve">Personnel </v>
      </c>
    </row>
    <row r="74" spans="2:16" s="23" customFormat="1" ht="43.2">
      <c r="D74" s="733" t="s">
        <v>100</v>
      </c>
      <c r="E74" s="733"/>
      <c r="F74" s="733"/>
      <c r="G74" s="733"/>
      <c r="H74" s="142" t="s">
        <v>101</v>
      </c>
      <c r="I74" s="152" t="s">
        <v>63</v>
      </c>
      <c r="J74" s="152" t="s">
        <v>67</v>
      </c>
      <c r="K74" s="72" t="s">
        <v>475</v>
      </c>
      <c r="L74" s="28" t="str">
        <f>"Financial Price ("&amp;FLU_LU!$D$79&amp;")"</f>
        <v>Financial Price (GOZ)</v>
      </c>
      <c r="M74" s="28" t="str">
        <f>"Economic Price ("&amp;FLU_LU!$D$79&amp;")"</f>
        <v>Economic Price (GOZ)</v>
      </c>
      <c r="N74" s="28" t="str">
        <f>"Financial Price ("&amp;FLU_LU!$D$78&amp;")"</f>
        <v>Financial Price (USD)</v>
      </c>
      <c r="O74" s="28" t="str">
        <f>"Economic Price ("&amp;FLU_LU!$D$78&amp;")"</f>
        <v>Economic Price (USD)</v>
      </c>
      <c r="P74" s="152" t="s">
        <v>68</v>
      </c>
    </row>
    <row r="75" spans="2:16" s="23" customFormat="1">
      <c r="D75" s="746">
        <v>1</v>
      </c>
      <c r="E75" s="746"/>
      <c r="F75" s="746"/>
      <c r="G75" s="749"/>
      <c r="H75" s="151" t="s">
        <v>153</v>
      </c>
      <c r="I75" s="31">
        <v>1</v>
      </c>
      <c r="J75" s="64"/>
      <c r="K75" s="135">
        <f t="shared" ref="K75:K80" si="1">IF(I75=1,J75/FLU_DAYS_PER_MONTH,IF(I75=2,J75/FLU_HOURS_PER_MONTH,J75/FLU_MINUTES_PER_MONTH))</f>
        <v>0</v>
      </c>
      <c r="L75" s="169">
        <f ca="1">OFFSET(Cost_Ingredients!$N$73,DD_FLU_TRAIN2_GROUP_B_1,0)*$K75</f>
        <v>0</v>
      </c>
      <c r="M75" s="169">
        <f ca="1">OFFSET(Cost_Ingredients!$O$73,DD_FLU_TRAIN2_GROUP_B_1,0)*$K75</f>
        <v>0</v>
      </c>
      <c r="N75" s="179">
        <f ca="1">OFFSET(Cost_Ingredients!$P$73,DD_FLU_TRAIN2_GROUP_B_1,0)*$K75</f>
        <v>0</v>
      </c>
      <c r="O75" s="179">
        <f ca="1">OFFSET(Cost_Ingredients!$Q$73,DD_FLU_TRAIN2_GROUP_B_1,0)*$K75</f>
        <v>0</v>
      </c>
      <c r="P75" s="158"/>
    </row>
    <row r="76" spans="2:16" s="23" customFormat="1">
      <c r="D76" s="746">
        <v>1</v>
      </c>
      <c r="E76" s="746"/>
      <c r="F76" s="746"/>
      <c r="G76" s="749"/>
      <c r="H76" s="151" t="s">
        <v>153</v>
      </c>
      <c r="I76" s="31">
        <v>1</v>
      </c>
      <c r="J76" s="64"/>
      <c r="K76" s="135">
        <f t="shared" si="1"/>
        <v>0</v>
      </c>
      <c r="L76" s="169">
        <f ca="1">OFFSET(Cost_Ingredients!$N$73,DD_FLU_TRAIN2_GROUP_B_2,0)*$K76</f>
        <v>0</v>
      </c>
      <c r="M76" s="169">
        <f ca="1">OFFSET(Cost_Ingredients!$O$73,DD_FLU_TRAIN2_GROUP_B_2,0)*$K76</f>
        <v>0</v>
      </c>
      <c r="N76" s="179">
        <f ca="1">OFFSET(Cost_Ingredients!$P$73,DD_FLU_TRAIN2_GROUP_B_2,0)*$K76</f>
        <v>0</v>
      </c>
      <c r="O76" s="179">
        <f ca="1">OFFSET(Cost_Ingredients!$Q$73,DD_FLU_TRAIN2_GROUP_B_2,0)*$K76</f>
        <v>0</v>
      </c>
      <c r="P76" s="158"/>
    </row>
    <row r="77" spans="2:16" s="23" customFormat="1">
      <c r="D77" s="746">
        <v>1</v>
      </c>
      <c r="E77" s="746"/>
      <c r="F77" s="746"/>
      <c r="G77" s="749"/>
      <c r="H77" s="151" t="s">
        <v>153</v>
      </c>
      <c r="I77" s="31">
        <v>1</v>
      </c>
      <c r="J77" s="64"/>
      <c r="K77" s="135">
        <f t="shared" si="1"/>
        <v>0</v>
      </c>
      <c r="L77" s="169">
        <f ca="1">OFFSET(Cost_Ingredients!$N$73,DD_FLU_TRAIN2_GROUP_B_3,0)*$K77</f>
        <v>0</v>
      </c>
      <c r="M77" s="169">
        <f ca="1">OFFSET(Cost_Ingredients!$O$73,DD_FLU_TRAIN2_GROUP_B_3,0)*$K77</f>
        <v>0</v>
      </c>
      <c r="N77" s="179">
        <f ca="1">OFFSET(Cost_Ingredients!$P$73,DD_FLU_TRAIN2_GROUP_B_3,0)*$K77</f>
        <v>0</v>
      </c>
      <c r="O77" s="179">
        <f ca="1">OFFSET(Cost_Ingredients!$Q$73,DD_FLU_TRAIN2_GROUP_B_3,0)*$K77</f>
        <v>0</v>
      </c>
      <c r="P77" s="158"/>
    </row>
    <row r="78" spans="2:16" s="23" customFormat="1">
      <c r="D78" s="746">
        <v>1</v>
      </c>
      <c r="E78" s="746"/>
      <c r="F78" s="746"/>
      <c r="G78" s="749"/>
      <c r="H78" s="151" t="s">
        <v>153</v>
      </c>
      <c r="I78" s="31">
        <v>1</v>
      </c>
      <c r="J78" s="64"/>
      <c r="K78" s="135">
        <f t="shared" si="1"/>
        <v>0</v>
      </c>
      <c r="L78" s="169">
        <f ca="1">OFFSET(Cost_Ingredients!$N$73,DD_FLU_TRAIN2_GROUP_B_4,0)*$K78</f>
        <v>0</v>
      </c>
      <c r="M78" s="169">
        <f ca="1">OFFSET(Cost_Ingredients!$O$73,DD_FLU_TRAIN2_GROUP_B_4,0)*$K78</f>
        <v>0</v>
      </c>
      <c r="N78" s="179">
        <f ca="1">OFFSET(Cost_Ingredients!$P$73,DD_FLU_TRAIN2_GROUP_B_4,0)*$K78</f>
        <v>0</v>
      </c>
      <c r="O78" s="179">
        <f ca="1">OFFSET(Cost_Ingredients!$Q$73,DD_FLU_TRAIN2_GROUP_B_4,0)*$K78</f>
        <v>0</v>
      </c>
      <c r="P78" s="158"/>
    </row>
    <row r="79" spans="2:16" s="23" customFormat="1">
      <c r="D79" s="746">
        <v>1</v>
      </c>
      <c r="E79" s="746"/>
      <c r="F79" s="746"/>
      <c r="G79" s="749"/>
      <c r="H79" s="151" t="s">
        <v>153</v>
      </c>
      <c r="I79" s="31">
        <v>1</v>
      </c>
      <c r="J79" s="64"/>
      <c r="K79" s="135">
        <f t="shared" si="1"/>
        <v>0</v>
      </c>
      <c r="L79" s="169">
        <f ca="1">OFFSET(Cost_Ingredients!$N$73,DD_FLU_TRAIN2_GROUP_B_5,0)*$K79</f>
        <v>0</v>
      </c>
      <c r="M79" s="169">
        <f ca="1">OFFSET(Cost_Ingredients!$O$73,DD_FLU_TRAIN2_GROUP_B_5,0)*$K79</f>
        <v>0</v>
      </c>
      <c r="N79" s="179">
        <f ca="1">OFFSET(Cost_Ingredients!$P$73,DD_FLU_TRAIN2_GROUP_B_5,0)*$K79</f>
        <v>0</v>
      </c>
      <c r="O79" s="179">
        <f ca="1">OFFSET(Cost_Ingredients!$Q$73,DD_FLU_TRAIN2_GROUP_B_5,0)*$K79</f>
        <v>0</v>
      </c>
      <c r="P79" s="158"/>
    </row>
    <row r="80" spans="2:16" s="23" customFormat="1">
      <c r="D80" s="746">
        <v>1</v>
      </c>
      <c r="E80" s="746"/>
      <c r="F80" s="746"/>
      <c r="G80" s="749"/>
      <c r="H80" s="172" t="s">
        <v>153</v>
      </c>
      <c r="I80" s="31">
        <v>1</v>
      </c>
      <c r="J80" s="173"/>
      <c r="K80" s="135">
        <f t="shared" si="1"/>
        <v>0</v>
      </c>
      <c r="L80" s="169">
        <f ca="1">OFFSET(Cost_Ingredients!$N$73,DD_FLU_TRAIN2_GROUP_B_6,0)*$K80</f>
        <v>0</v>
      </c>
      <c r="M80" s="169">
        <f ca="1">OFFSET(Cost_Ingredients!$O$73,DD_FLU_TRAIN2_GROUP_B_6,0)*$K80</f>
        <v>0</v>
      </c>
      <c r="N80" s="179">
        <f ca="1">OFFSET(Cost_Ingredients!$P$73,DD_FLU_TRAIN2_GROUP_B_6,0)*$K80</f>
        <v>0</v>
      </c>
      <c r="O80" s="179">
        <f ca="1">OFFSET(Cost_Ingredients!$Q$73,DD_FLU_TRAIN2_GROUP_B_6,0)*$K80</f>
        <v>0</v>
      </c>
      <c r="P80" s="174"/>
    </row>
    <row r="81" spans="3:16" s="23" customFormat="1" ht="15" thickBot="1">
      <c r="D81" s="759" t="s">
        <v>161</v>
      </c>
      <c r="E81" s="759"/>
      <c r="F81" s="759"/>
      <c r="G81" s="759"/>
      <c r="H81" s="157"/>
      <c r="I81" s="71"/>
      <c r="J81" s="71"/>
      <c r="K81" s="162">
        <f>SUM(K75:K80)</f>
        <v>0</v>
      </c>
      <c r="L81" s="24">
        <f ca="1">SUM(L75:L80)</f>
        <v>0</v>
      </c>
      <c r="M81" s="24">
        <f ca="1">SUM(M75:M80)</f>
        <v>0</v>
      </c>
      <c r="N81" s="180">
        <f ca="1">SUM(N75:N80)</f>
        <v>0</v>
      </c>
      <c r="O81" s="180">
        <f ca="1">SUM(O75:O80)</f>
        <v>0</v>
      </c>
      <c r="P81" s="157"/>
    </row>
    <row r="82" spans="3:16" s="23" customFormat="1"/>
    <row r="83" spans="3:16" s="23" customFormat="1">
      <c r="C83" s="153" t="str">
        <f>FLU_LU!$D$279</f>
        <v>Allowances</v>
      </c>
    </row>
    <row r="84" spans="3:16" s="23" customFormat="1" ht="28.8">
      <c r="D84" s="733" t="s">
        <v>100</v>
      </c>
      <c r="E84" s="733"/>
      <c r="F84" s="733"/>
      <c r="G84" s="733"/>
      <c r="H84" s="142" t="s">
        <v>101</v>
      </c>
      <c r="I84" s="152" t="s">
        <v>63</v>
      </c>
      <c r="J84" s="152" t="s">
        <v>67</v>
      </c>
      <c r="L84" s="28" t="str">
        <f>"Financial Price ("&amp;FLU_LU!$D$79&amp;")"</f>
        <v>Financial Price (GOZ)</v>
      </c>
      <c r="M84" s="28" t="str">
        <f>"Economic Price ("&amp;FLU_LU!$D$79&amp;")"</f>
        <v>Economic Price (GOZ)</v>
      </c>
      <c r="N84" s="28" t="str">
        <f>"Financial Price ("&amp;FLU_LU!$D$78&amp;")"</f>
        <v>Financial Price (USD)</v>
      </c>
      <c r="O84" s="28" t="str">
        <f>"Economic Price ("&amp;FLU_LU!$D$78&amp;")"</f>
        <v>Economic Price (USD)</v>
      </c>
      <c r="P84" s="152" t="s">
        <v>68</v>
      </c>
    </row>
    <row r="85" spans="3:16" s="23" customFormat="1">
      <c r="D85" s="746">
        <v>1</v>
      </c>
      <c r="E85" s="746"/>
      <c r="F85" s="746"/>
      <c r="G85" s="749"/>
      <c r="H85" s="667" t="s">
        <v>153</v>
      </c>
      <c r="I85" s="667"/>
      <c r="J85" s="64"/>
      <c r="L85" s="169">
        <f ca="1">OFFSET(Cost_Ingredients!N$103,$D85,0)*$J85</f>
        <v>0</v>
      </c>
      <c r="M85" s="169">
        <f ca="1">OFFSET(Cost_Ingredients!O$103,$D85,0)*$J85</f>
        <v>0</v>
      </c>
      <c r="N85" s="176">
        <f ca="1">OFFSET(Cost_Ingredients!P$103,$D85,0)*$J85</f>
        <v>0</v>
      </c>
      <c r="O85" s="176">
        <f ca="1">OFFSET(Cost_Ingredients!Q$103,$D85,0)*$J85</f>
        <v>0</v>
      </c>
      <c r="P85" s="151"/>
    </row>
    <row r="86" spans="3:16" s="23" customFormat="1">
      <c r="D86" s="746">
        <v>1</v>
      </c>
      <c r="E86" s="746"/>
      <c r="F86" s="746"/>
      <c r="G86" s="749"/>
      <c r="H86" s="667" t="s">
        <v>153</v>
      </c>
      <c r="I86" s="667"/>
      <c r="J86" s="64"/>
      <c r="L86" s="169">
        <f ca="1">OFFSET(Cost_Ingredients!N$103,$D86,0)*$J86</f>
        <v>0</v>
      </c>
      <c r="M86" s="169">
        <f ca="1">OFFSET(Cost_Ingredients!O$103,$D86,0)*$J86</f>
        <v>0</v>
      </c>
      <c r="N86" s="176">
        <f ca="1">OFFSET(Cost_Ingredients!P$103,$D86,0)*$J86</f>
        <v>0</v>
      </c>
      <c r="O86" s="176">
        <f ca="1">OFFSET(Cost_Ingredients!Q$103,$D86,0)*$J86</f>
        <v>0</v>
      </c>
      <c r="P86" s="151"/>
    </row>
    <row r="87" spans="3:16" s="23" customFormat="1">
      <c r="D87" s="746">
        <v>1</v>
      </c>
      <c r="E87" s="746"/>
      <c r="F87" s="746"/>
      <c r="G87" s="749"/>
      <c r="H87" s="667" t="s">
        <v>153</v>
      </c>
      <c r="I87" s="667"/>
      <c r="J87" s="64"/>
      <c r="L87" s="169">
        <f ca="1">OFFSET(Cost_Ingredients!N$103,$D87,0)*$J87</f>
        <v>0</v>
      </c>
      <c r="M87" s="169">
        <f ca="1">OFFSET(Cost_Ingredients!O$103,$D87,0)*$J87</f>
        <v>0</v>
      </c>
      <c r="N87" s="176">
        <f ca="1">OFFSET(Cost_Ingredients!P$103,$D87,0)*$J87</f>
        <v>0</v>
      </c>
      <c r="O87" s="176">
        <f ca="1">OFFSET(Cost_Ingredients!Q$103,$D87,0)*$J87</f>
        <v>0</v>
      </c>
      <c r="P87" s="151"/>
    </row>
    <row r="88" spans="3:16" s="23" customFormat="1">
      <c r="D88" s="746">
        <v>1</v>
      </c>
      <c r="E88" s="746"/>
      <c r="F88" s="746"/>
      <c r="G88" s="749"/>
      <c r="H88" s="667" t="s">
        <v>153</v>
      </c>
      <c r="I88" s="667"/>
      <c r="J88" s="64"/>
      <c r="L88" s="169">
        <f ca="1">OFFSET(Cost_Ingredients!N$103,$D88,0)*$J88</f>
        <v>0</v>
      </c>
      <c r="M88" s="169">
        <f ca="1">OFFSET(Cost_Ingredients!O$103,$D88,0)*$J88</f>
        <v>0</v>
      </c>
      <c r="N88" s="176">
        <f ca="1">OFFSET(Cost_Ingredients!P$103,$D88,0)*$J88</f>
        <v>0</v>
      </c>
      <c r="O88" s="176">
        <f ca="1">OFFSET(Cost_Ingredients!Q$103,$D88,0)*$J88</f>
        <v>0</v>
      </c>
      <c r="P88" s="151"/>
    </row>
    <row r="89" spans="3:16" s="23" customFormat="1">
      <c r="D89" s="746">
        <v>1</v>
      </c>
      <c r="E89" s="746"/>
      <c r="F89" s="746"/>
      <c r="G89" s="749"/>
      <c r="H89" s="667" t="s">
        <v>153</v>
      </c>
      <c r="I89" s="667"/>
      <c r="J89" s="64"/>
      <c r="L89" s="169">
        <f ca="1">OFFSET(Cost_Ingredients!N$103,$D89,0)*$J89</f>
        <v>0</v>
      </c>
      <c r="M89" s="169">
        <f ca="1">OFFSET(Cost_Ingredients!O$103,$D89,0)*$J89</f>
        <v>0</v>
      </c>
      <c r="N89" s="176">
        <f ca="1">OFFSET(Cost_Ingredients!P$103,$D89,0)*$J89</f>
        <v>0</v>
      </c>
      <c r="O89" s="176">
        <f ca="1">OFFSET(Cost_Ingredients!Q$103,$D89,0)*$J89</f>
        <v>0</v>
      </c>
      <c r="P89" s="151"/>
    </row>
    <row r="90" spans="3:16" s="23" customFormat="1">
      <c r="D90" s="746">
        <v>1</v>
      </c>
      <c r="E90" s="746"/>
      <c r="F90" s="746"/>
      <c r="G90" s="749"/>
      <c r="H90" s="745" t="s">
        <v>153</v>
      </c>
      <c r="I90" s="745"/>
      <c r="J90" s="173">
        <v>0</v>
      </c>
      <c r="L90" s="169">
        <f ca="1">OFFSET(Cost_Ingredients!N$103,$D90,0)*$J90</f>
        <v>0</v>
      </c>
      <c r="M90" s="169">
        <f ca="1">OFFSET(Cost_Ingredients!O$103,$D90,0)*$J90</f>
        <v>0</v>
      </c>
      <c r="N90" s="176">
        <f ca="1">OFFSET(Cost_Ingredients!P$103,$D90,0)*$J90</f>
        <v>0</v>
      </c>
      <c r="O90" s="176">
        <f ca="1">OFFSET(Cost_Ingredients!Q$103,$D90,0)*$J90</f>
        <v>0</v>
      </c>
      <c r="P90" s="172"/>
    </row>
    <row r="91" spans="3:16" s="23" customFormat="1" ht="15" thickBot="1">
      <c r="D91" s="759" t="s">
        <v>161</v>
      </c>
      <c r="E91" s="759"/>
      <c r="F91" s="759"/>
      <c r="G91" s="759"/>
      <c r="H91" s="157"/>
      <c r="I91" s="157"/>
      <c r="J91" s="71"/>
      <c r="L91" s="24">
        <f ca="1">SUM(L85:L90)</f>
        <v>0</v>
      </c>
      <c r="M91" s="24">
        <f ca="1">SUM(M85:M90)</f>
        <v>0</v>
      </c>
      <c r="N91" s="25">
        <f ca="1">SUM(N85:N90)</f>
        <v>0</v>
      </c>
      <c r="O91" s="25">
        <f ca="1">SUM(O85:O90)</f>
        <v>0</v>
      </c>
      <c r="P91" s="157"/>
    </row>
    <row r="92" spans="3:16" s="23" customFormat="1"/>
    <row r="93" spans="3:16" s="23" customFormat="1">
      <c r="C93" s="153" t="str">
        <f>FLU_LU!$D$280</f>
        <v>Supplies &amp; Materials</v>
      </c>
    </row>
    <row r="94" spans="3:16" s="23" customFormat="1" ht="28.8">
      <c r="D94" s="733" t="s">
        <v>100</v>
      </c>
      <c r="E94" s="733"/>
      <c r="F94" s="733"/>
      <c r="G94" s="733"/>
      <c r="H94" s="142" t="s">
        <v>101</v>
      </c>
      <c r="I94" s="152" t="s">
        <v>63</v>
      </c>
      <c r="J94" s="152" t="s">
        <v>67</v>
      </c>
      <c r="L94" s="28" t="str">
        <f>"Financial Price ("&amp;FLU_LU!$D$79&amp;")"</f>
        <v>Financial Price (GOZ)</v>
      </c>
      <c r="M94" s="28" t="str">
        <f>"Economic Price ("&amp;FLU_LU!$D$79&amp;")"</f>
        <v>Economic Price (GOZ)</v>
      </c>
      <c r="N94" s="28" t="str">
        <f>"Financial Price ("&amp;FLU_LU!$D$78&amp;")"</f>
        <v>Financial Price (USD)</v>
      </c>
      <c r="O94" s="28" t="str">
        <f>"Economic Price ("&amp;FLU_LU!$D$78&amp;")"</f>
        <v>Economic Price (USD)</v>
      </c>
      <c r="P94" s="152" t="s">
        <v>68</v>
      </c>
    </row>
    <row r="95" spans="3:16" s="23" customFormat="1">
      <c r="D95" s="746">
        <v>1</v>
      </c>
      <c r="E95" s="746"/>
      <c r="F95" s="746"/>
      <c r="G95" s="749"/>
      <c r="H95" s="151" t="s">
        <v>153</v>
      </c>
      <c r="I95" s="169">
        <f ca="1">OFFSET(Cost_Ingredients!$M$117,$D95,0)</f>
        <v>0</v>
      </c>
      <c r="J95" s="64"/>
      <c r="L95" s="169">
        <f ca="1">OFFSET(Cost_Ingredients!N$117,$D95,0)*$J95</f>
        <v>0</v>
      </c>
      <c r="M95" s="169">
        <f ca="1">OFFSET(Cost_Ingredients!O$117,$D95,0)*$J95</f>
        <v>0</v>
      </c>
      <c r="N95" s="176">
        <f ca="1">OFFSET(Cost_Ingredients!P$117,$D95,0)*$J95</f>
        <v>0</v>
      </c>
      <c r="O95" s="176">
        <f ca="1">OFFSET(Cost_Ingredients!Q$117,$D95,0)*$J95</f>
        <v>0</v>
      </c>
      <c r="P95" s="151"/>
    </row>
    <row r="96" spans="3:16" s="23" customFormat="1">
      <c r="D96" s="746">
        <v>1</v>
      </c>
      <c r="E96" s="746"/>
      <c r="F96" s="746"/>
      <c r="G96" s="749"/>
      <c r="H96" s="151" t="s">
        <v>153</v>
      </c>
      <c r="I96" s="169">
        <f ca="1">OFFSET(Cost_Ingredients!$M$117,$D96,0)</f>
        <v>0</v>
      </c>
      <c r="J96" s="64">
        <v>0</v>
      </c>
      <c r="L96" s="169">
        <f ca="1">OFFSET(Cost_Ingredients!N$117,$D96,0)*$J96</f>
        <v>0</v>
      </c>
      <c r="M96" s="169">
        <f ca="1">OFFSET(Cost_Ingredients!O$117,$D96,0)*$J96</f>
        <v>0</v>
      </c>
      <c r="N96" s="176">
        <f ca="1">OFFSET(Cost_Ingredients!P$117,$D96,0)*$J96</f>
        <v>0</v>
      </c>
      <c r="O96" s="176">
        <f ca="1">OFFSET(Cost_Ingredients!Q$117,$D96,0)*$J96</f>
        <v>0</v>
      </c>
      <c r="P96" s="151"/>
    </row>
    <row r="97" spans="3:16" s="23" customFormat="1">
      <c r="D97" s="746">
        <v>1</v>
      </c>
      <c r="E97" s="746"/>
      <c r="F97" s="746"/>
      <c r="G97" s="749"/>
      <c r="H97" s="151" t="s">
        <v>153</v>
      </c>
      <c r="I97" s="169">
        <f ca="1">OFFSET(Cost_Ingredients!$M$117,$D97,0)</f>
        <v>0</v>
      </c>
      <c r="J97" s="64">
        <v>0</v>
      </c>
      <c r="L97" s="169">
        <f ca="1">OFFSET(Cost_Ingredients!N$117,$D97,0)*$J97</f>
        <v>0</v>
      </c>
      <c r="M97" s="169">
        <f ca="1">OFFSET(Cost_Ingredients!O$117,$D97,0)*$J97</f>
        <v>0</v>
      </c>
      <c r="N97" s="176">
        <f ca="1">OFFSET(Cost_Ingredients!P$117,$D97,0)*$J97</f>
        <v>0</v>
      </c>
      <c r="O97" s="176">
        <f ca="1">OFFSET(Cost_Ingredients!Q$117,$D97,0)*$J97</f>
        <v>0</v>
      </c>
      <c r="P97" s="151"/>
    </row>
    <row r="98" spans="3:16" s="23" customFormat="1">
      <c r="D98" s="746">
        <v>1</v>
      </c>
      <c r="E98" s="746"/>
      <c r="F98" s="746"/>
      <c r="G98" s="749"/>
      <c r="H98" s="151" t="s">
        <v>153</v>
      </c>
      <c r="I98" s="169">
        <f ca="1">OFFSET(Cost_Ingredients!$M$117,$D98,0)</f>
        <v>0</v>
      </c>
      <c r="J98" s="64">
        <v>0</v>
      </c>
      <c r="L98" s="169">
        <f ca="1">OFFSET(Cost_Ingredients!N$117,$D98,0)*$J98</f>
        <v>0</v>
      </c>
      <c r="M98" s="169">
        <f ca="1">OFFSET(Cost_Ingredients!O$117,$D98,0)*$J98</f>
        <v>0</v>
      </c>
      <c r="N98" s="176">
        <f ca="1">OFFSET(Cost_Ingredients!P$117,$D98,0)*$J98</f>
        <v>0</v>
      </c>
      <c r="O98" s="176">
        <f ca="1">OFFSET(Cost_Ingredients!Q$117,$D98,0)*$J98</f>
        <v>0</v>
      </c>
      <c r="P98" s="151"/>
    </row>
    <row r="99" spans="3:16" s="23" customFormat="1">
      <c r="D99" s="746">
        <v>1</v>
      </c>
      <c r="E99" s="746"/>
      <c r="F99" s="746"/>
      <c r="G99" s="749"/>
      <c r="H99" s="151" t="s">
        <v>153</v>
      </c>
      <c r="I99" s="169">
        <f ca="1">OFFSET(Cost_Ingredients!$M$117,$D99,0)</f>
        <v>0</v>
      </c>
      <c r="J99" s="64">
        <v>0</v>
      </c>
      <c r="L99" s="169">
        <f ca="1">OFFSET(Cost_Ingredients!N$117,$D99,0)*$J99</f>
        <v>0</v>
      </c>
      <c r="M99" s="169">
        <f ca="1">OFFSET(Cost_Ingredients!O$117,$D99,0)*$J99</f>
        <v>0</v>
      </c>
      <c r="N99" s="176">
        <f ca="1">OFFSET(Cost_Ingredients!P$117,$D99,0)*$J99</f>
        <v>0</v>
      </c>
      <c r="O99" s="176">
        <f ca="1">OFFSET(Cost_Ingredients!Q$117,$D99,0)*$J99</f>
        <v>0</v>
      </c>
      <c r="P99" s="151"/>
    </row>
    <row r="100" spans="3:16" s="23" customFormat="1">
      <c r="D100" s="746">
        <v>1</v>
      </c>
      <c r="E100" s="746"/>
      <c r="F100" s="746"/>
      <c r="G100" s="749"/>
      <c r="H100" s="151" t="s">
        <v>153</v>
      </c>
      <c r="I100" s="169">
        <f ca="1">OFFSET(Cost_Ingredients!$M$117,$D100,0)</f>
        <v>0</v>
      </c>
      <c r="J100" s="64">
        <v>0</v>
      </c>
      <c r="L100" s="169">
        <f ca="1">OFFSET(Cost_Ingredients!N$117,$D100,0)*$J100</f>
        <v>0</v>
      </c>
      <c r="M100" s="169">
        <f ca="1">OFFSET(Cost_Ingredients!O$117,$D100,0)*$J100</f>
        <v>0</v>
      </c>
      <c r="N100" s="176">
        <f ca="1">OFFSET(Cost_Ingredients!P$117,$D100,0)*$J100</f>
        <v>0</v>
      </c>
      <c r="O100" s="176">
        <f ca="1">OFFSET(Cost_Ingredients!Q$117,$D100,0)*$J100</f>
        <v>0</v>
      </c>
      <c r="P100" s="151"/>
    </row>
    <row r="101" spans="3:16" s="23" customFormat="1">
      <c r="D101" s="746">
        <v>1</v>
      </c>
      <c r="E101" s="746"/>
      <c r="F101" s="746"/>
      <c r="G101" s="749"/>
      <c r="H101" s="151"/>
      <c r="I101" s="169">
        <f ca="1">OFFSET(Cost_Ingredients!$M$117,$D101,0)</f>
        <v>0</v>
      </c>
      <c r="J101" s="64">
        <v>0</v>
      </c>
      <c r="L101" s="169">
        <f ca="1">OFFSET(Cost_Ingredients!N$117,$D101,0)*$J101</f>
        <v>0</v>
      </c>
      <c r="M101" s="169">
        <f ca="1">OFFSET(Cost_Ingredients!O$117,$D101,0)*$J101</f>
        <v>0</v>
      </c>
      <c r="N101" s="176">
        <f ca="1">OFFSET(Cost_Ingredients!P$117,$D101,0)*$J101</f>
        <v>0</v>
      </c>
      <c r="O101" s="176">
        <f ca="1">OFFSET(Cost_Ingredients!Q$117,$D101,0)*$J101</f>
        <v>0</v>
      </c>
      <c r="P101" s="151"/>
    </row>
    <row r="102" spans="3:16" s="23" customFormat="1">
      <c r="D102" s="746">
        <v>1</v>
      </c>
      <c r="E102" s="746"/>
      <c r="F102" s="746"/>
      <c r="G102" s="749"/>
      <c r="H102" s="151"/>
      <c r="I102" s="169">
        <f ca="1">OFFSET(Cost_Ingredients!$M$117,$D102,0)</f>
        <v>0</v>
      </c>
      <c r="J102" s="64">
        <v>0</v>
      </c>
      <c r="L102" s="169">
        <f ca="1">OFFSET(Cost_Ingredients!N$117,$D102,0)*$J102</f>
        <v>0</v>
      </c>
      <c r="M102" s="169">
        <f ca="1">OFFSET(Cost_Ingredients!O$117,$D102,0)*$J102</f>
        <v>0</v>
      </c>
      <c r="N102" s="176">
        <f ca="1">OFFSET(Cost_Ingredients!P$117,$D102,0)*$J102</f>
        <v>0</v>
      </c>
      <c r="O102" s="176">
        <f ca="1">OFFSET(Cost_Ingredients!Q$117,$D102,0)*$J102</f>
        <v>0</v>
      </c>
      <c r="P102" s="151"/>
    </row>
    <row r="103" spans="3:16" s="23" customFormat="1">
      <c r="D103" s="746">
        <v>1</v>
      </c>
      <c r="E103" s="746"/>
      <c r="F103" s="746"/>
      <c r="G103" s="749"/>
      <c r="H103" s="151"/>
      <c r="I103" s="169">
        <f ca="1">OFFSET(Cost_Ingredients!$M$117,$D103,0)</f>
        <v>0</v>
      </c>
      <c r="J103" s="64">
        <v>0</v>
      </c>
      <c r="L103" s="169">
        <f ca="1">OFFSET(Cost_Ingredients!N$117,$D103,0)*$J103</f>
        <v>0</v>
      </c>
      <c r="M103" s="169">
        <f ca="1">OFFSET(Cost_Ingredients!O$117,$D103,0)*$J103</f>
        <v>0</v>
      </c>
      <c r="N103" s="176">
        <f ca="1">OFFSET(Cost_Ingredients!P$117,$D103,0)*$J103</f>
        <v>0</v>
      </c>
      <c r="O103" s="176">
        <f ca="1">OFFSET(Cost_Ingredients!Q$117,$D103,0)*$J103</f>
        <v>0</v>
      </c>
      <c r="P103" s="151"/>
    </row>
    <row r="104" spans="3:16" s="23" customFormat="1">
      <c r="D104" s="746">
        <v>1</v>
      </c>
      <c r="E104" s="746"/>
      <c r="F104" s="746"/>
      <c r="G104" s="749"/>
      <c r="H104" s="172"/>
      <c r="I104" s="169">
        <f ca="1">OFFSET(Cost_Ingredients!$M$117,$D104,0)</f>
        <v>0</v>
      </c>
      <c r="J104" s="173">
        <v>0</v>
      </c>
      <c r="L104" s="169">
        <f ca="1">OFFSET(Cost_Ingredients!N$117,$D104,0)*$J104</f>
        <v>0</v>
      </c>
      <c r="M104" s="169">
        <f ca="1">OFFSET(Cost_Ingredients!O$117,$D104,0)*$J104</f>
        <v>0</v>
      </c>
      <c r="N104" s="176">
        <f ca="1">OFFSET(Cost_Ingredients!P$117,$D104,0)*$J104</f>
        <v>0</v>
      </c>
      <c r="O104" s="176">
        <f ca="1">OFFSET(Cost_Ingredients!Q$117,$D104,0)*$J104</f>
        <v>0</v>
      </c>
      <c r="P104" s="172"/>
    </row>
    <row r="105" spans="3:16" s="23" customFormat="1" ht="15" thickBot="1">
      <c r="D105" s="759" t="s">
        <v>161</v>
      </c>
      <c r="E105" s="759"/>
      <c r="F105" s="759"/>
      <c r="G105" s="759"/>
      <c r="H105" s="157"/>
      <c r="I105" s="177">
        <f ca="1">SUM(I95:I104)</f>
        <v>0</v>
      </c>
      <c r="J105" s="177">
        <f>SUM(J95:J104)</f>
        <v>0</v>
      </c>
      <c r="L105" s="24">
        <f t="shared" ref="L105:O105" ca="1" si="2">SUM(L95:L104)</f>
        <v>0</v>
      </c>
      <c r="M105" s="24">
        <f t="shared" ca="1" si="2"/>
        <v>0</v>
      </c>
      <c r="N105" s="25">
        <f t="shared" ca="1" si="2"/>
        <v>0</v>
      </c>
      <c r="O105" s="25">
        <f t="shared" ca="1" si="2"/>
        <v>0</v>
      </c>
      <c r="P105" s="157"/>
    </row>
    <row r="106" spans="3:16" s="23" customFormat="1"/>
    <row r="107" spans="3:16" s="23" customFormat="1">
      <c r="C107" s="153" t="str">
        <f>FLU_LU!$D$281</f>
        <v>Other Direct Costs (Recurrent)</v>
      </c>
    </row>
    <row r="108" spans="3:16" s="23" customFormat="1" ht="28.8">
      <c r="D108" s="733" t="s">
        <v>100</v>
      </c>
      <c r="E108" s="733"/>
      <c r="F108" s="733"/>
      <c r="G108" s="733"/>
      <c r="H108" s="142" t="s">
        <v>101</v>
      </c>
      <c r="I108" s="152" t="s">
        <v>63</v>
      </c>
      <c r="J108" s="152" t="s">
        <v>67</v>
      </c>
      <c r="L108" s="28" t="str">
        <f>"Financial Price ("&amp;FLU_LU!$D$79&amp;")"</f>
        <v>Financial Price (GOZ)</v>
      </c>
      <c r="M108" s="28" t="str">
        <f>"Economic Price ("&amp;FLU_LU!$D$79&amp;")"</f>
        <v>Economic Price (GOZ)</v>
      </c>
      <c r="N108" s="28" t="str">
        <f>"Financial Price ("&amp;FLU_LU!$D$78&amp;")"</f>
        <v>Financial Price (USD)</v>
      </c>
      <c r="O108" s="28" t="str">
        <f>"Economic Price ("&amp;FLU_LU!$D$78&amp;")"</f>
        <v>Economic Price (USD)</v>
      </c>
      <c r="P108" s="152" t="s">
        <v>68</v>
      </c>
    </row>
    <row r="109" spans="3:16" s="23" customFormat="1">
      <c r="D109" s="746">
        <v>2</v>
      </c>
      <c r="E109" s="746"/>
      <c r="F109" s="746"/>
      <c r="G109" s="749"/>
      <c r="H109" s="151" t="s">
        <v>153</v>
      </c>
      <c r="I109" s="169" t="str">
        <f ca="1">OFFSET(Cost_Ingredients!$M$146,$D109,0)</f>
        <v>litre</v>
      </c>
      <c r="J109" s="64">
        <v>5</v>
      </c>
      <c r="L109" s="169">
        <f ca="1">OFFSET(Cost_Ingredients!N$146,$D109,0)*$J109</f>
        <v>850</v>
      </c>
      <c r="M109" s="169">
        <f ca="1">OFFSET(Cost_Ingredients!O$146,$D109,0)*$J109</f>
        <v>850</v>
      </c>
      <c r="N109" s="176">
        <f ca="1">OFFSET(Cost_Ingredients!P$146,$D109,0)*$J109</f>
        <v>5.6666666666666661</v>
      </c>
      <c r="O109" s="176">
        <f ca="1">OFFSET(Cost_Ingredients!Q$146,$D109,0)*$J109</f>
        <v>5.6666666666666661</v>
      </c>
      <c r="P109" s="151"/>
    </row>
    <row r="110" spans="3:16" s="23" customFormat="1">
      <c r="D110" s="746">
        <v>1</v>
      </c>
      <c r="E110" s="746"/>
      <c r="F110" s="746"/>
      <c r="G110" s="749"/>
      <c r="H110" s="151" t="s">
        <v>153</v>
      </c>
      <c r="I110" s="169">
        <f ca="1">OFFSET(Cost_Ingredients!$M$146,$D110,0)</f>
        <v>0</v>
      </c>
      <c r="J110" s="64"/>
      <c r="L110" s="169">
        <f ca="1">OFFSET(Cost_Ingredients!N$146,$D110,0)*$J110</f>
        <v>0</v>
      </c>
      <c r="M110" s="169">
        <f ca="1">OFFSET(Cost_Ingredients!O$146,$D110,0)*$J110</f>
        <v>0</v>
      </c>
      <c r="N110" s="176">
        <f ca="1">OFFSET(Cost_Ingredients!P$146,$D110,0)*$J110</f>
        <v>0</v>
      </c>
      <c r="O110" s="176">
        <f ca="1">OFFSET(Cost_Ingredients!Q$146,$D110,0)*$J110</f>
        <v>0</v>
      </c>
      <c r="P110" s="151"/>
    </row>
    <row r="111" spans="3:16" s="23" customFormat="1">
      <c r="D111" s="746">
        <v>1</v>
      </c>
      <c r="E111" s="746"/>
      <c r="F111" s="746"/>
      <c r="G111" s="749"/>
      <c r="H111" s="151" t="s">
        <v>153</v>
      </c>
      <c r="I111" s="169">
        <f ca="1">OFFSET(Cost_Ingredients!$M$146,$D111,0)</f>
        <v>0</v>
      </c>
      <c r="J111" s="64"/>
      <c r="L111" s="169">
        <f ca="1">OFFSET(Cost_Ingredients!N$146,$D111,0)*$J111</f>
        <v>0</v>
      </c>
      <c r="M111" s="169">
        <f ca="1">OFFSET(Cost_Ingredients!O$146,$D111,0)*$J111</f>
        <v>0</v>
      </c>
      <c r="N111" s="176">
        <f ca="1">OFFSET(Cost_Ingredients!P$146,$D111,0)*$J111</f>
        <v>0</v>
      </c>
      <c r="O111" s="176">
        <f ca="1">OFFSET(Cost_Ingredients!Q$146,$D111,0)*$J111</f>
        <v>0</v>
      </c>
      <c r="P111" s="151"/>
    </row>
    <row r="112" spans="3:16" s="23" customFormat="1">
      <c r="D112" s="746">
        <v>1</v>
      </c>
      <c r="E112" s="746"/>
      <c r="F112" s="746"/>
      <c r="G112" s="749"/>
      <c r="H112" s="151" t="s">
        <v>153</v>
      </c>
      <c r="I112" s="169">
        <f ca="1">OFFSET(Cost_Ingredients!$M$146,$D112,0)</f>
        <v>0</v>
      </c>
      <c r="J112" s="64"/>
      <c r="L112" s="169">
        <f ca="1">OFFSET(Cost_Ingredients!N$146,$D112,0)*$J112</f>
        <v>0</v>
      </c>
      <c r="M112" s="169">
        <f ca="1">OFFSET(Cost_Ingredients!O$146,$D112,0)*$J112</f>
        <v>0</v>
      </c>
      <c r="N112" s="176">
        <f ca="1">OFFSET(Cost_Ingredients!P$146,$D112,0)*$J112</f>
        <v>0</v>
      </c>
      <c r="O112" s="176">
        <f ca="1">OFFSET(Cost_Ingredients!Q$146,$D112,0)*$J112</f>
        <v>0</v>
      </c>
      <c r="P112" s="151"/>
    </row>
    <row r="113" spans="2:16" s="23" customFormat="1">
      <c r="D113" s="746">
        <v>1</v>
      </c>
      <c r="E113" s="746"/>
      <c r="F113" s="746"/>
      <c r="G113" s="749"/>
      <c r="H113" s="151" t="s">
        <v>153</v>
      </c>
      <c r="I113" s="169">
        <f ca="1">OFFSET(Cost_Ingredients!$M$146,$D113,0)</f>
        <v>0</v>
      </c>
      <c r="J113" s="64"/>
      <c r="L113" s="169">
        <f ca="1">OFFSET(Cost_Ingredients!N$146,$D113,0)*$J113</f>
        <v>0</v>
      </c>
      <c r="M113" s="169">
        <f ca="1">OFFSET(Cost_Ingredients!O$146,$D113,0)*$J113</f>
        <v>0</v>
      </c>
      <c r="N113" s="176">
        <f ca="1">OFFSET(Cost_Ingredients!P$146,$D113,0)*$J113</f>
        <v>0</v>
      </c>
      <c r="O113" s="176">
        <f ca="1">OFFSET(Cost_Ingredients!Q$146,$D113,0)*$J113</f>
        <v>0</v>
      </c>
      <c r="P113" s="151"/>
    </row>
    <row r="114" spans="2:16" s="23" customFormat="1">
      <c r="D114" s="746">
        <v>1</v>
      </c>
      <c r="E114" s="746"/>
      <c r="F114" s="746"/>
      <c r="G114" s="749"/>
      <c r="H114" s="151" t="s">
        <v>153</v>
      </c>
      <c r="I114" s="169">
        <f ca="1">OFFSET(Cost_Ingredients!$M$146,$D114,0)</f>
        <v>0</v>
      </c>
      <c r="J114" s="64">
        <v>0</v>
      </c>
      <c r="L114" s="169">
        <f ca="1">OFFSET(Cost_Ingredients!N$146,$D114,0)*$J114</f>
        <v>0</v>
      </c>
      <c r="M114" s="169">
        <f ca="1">OFFSET(Cost_Ingredients!O$146,$D114,0)*$J114</f>
        <v>0</v>
      </c>
      <c r="N114" s="176">
        <f ca="1">OFFSET(Cost_Ingredients!P$146,$D114,0)*$J114</f>
        <v>0</v>
      </c>
      <c r="O114" s="176">
        <f ca="1">OFFSET(Cost_Ingredients!Q$146,$D114,0)*$J114</f>
        <v>0</v>
      </c>
      <c r="P114" s="151"/>
    </row>
    <row r="115" spans="2:16" s="23" customFormat="1">
      <c r="D115" s="746">
        <v>1</v>
      </c>
      <c r="E115" s="746"/>
      <c r="F115" s="746"/>
      <c r="G115" s="749"/>
      <c r="H115" s="172" t="s">
        <v>153</v>
      </c>
      <c r="I115" s="169">
        <f ca="1">OFFSET(Cost_Ingredients!$M$146,$D115,0)</f>
        <v>0</v>
      </c>
      <c r="J115" s="173">
        <v>0</v>
      </c>
      <c r="L115" s="169">
        <f ca="1">OFFSET(Cost_Ingredients!N$146,$D115,0)*$J115</f>
        <v>0</v>
      </c>
      <c r="M115" s="169">
        <f ca="1">OFFSET(Cost_Ingredients!O$146,$D115,0)*$J115</f>
        <v>0</v>
      </c>
      <c r="N115" s="176">
        <f ca="1">OFFSET(Cost_Ingredients!P$146,$D115,0)*$J115</f>
        <v>0</v>
      </c>
      <c r="O115" s="176">
        <f ca="1">OFFSET(Cost_Ingredients!Q$146,$D115,0)*$J115</f>
        <v>0</v>
      </c>
      <c r="P115" s="172"/>
    </row>
    <row r="116" spans="2:16" s="23" customFormat="1" ht="15" thickBot="1">
      <c r="D116" s="759" t="s">
        <v>161</v>
      </c>
      <c r="E116" s="759"/>
      <c r="F116" s="759"/>
      <c r="G116" s="759"/>
      <c r="H116" s="157"/>
      <c r="I116" s="177">
        <f ca="1">SUM(I109:I115)</f>
        <v>0</v>
      </c>
      <c r="J116" s="71"/>
      <c r="L116" s="24">
        <f ca="1">SUM(L109:L115)</f>
        <v>850</v>
      </c>
      <c r="M116" s="24">
        <f ca="1">SUM(M109:M115)</f>
        <v>850</v>
      </c>
      <c r="N116" s="25">
        <f ca="1">SUM(N109:N115)</f>
        <v>5.6666666666666661</v>
      </c>
      <c r="O116" s="25">
        <f ca="1">SUM(O109:O115)</f>
        <v>5.6666666666666661</v>
      </c>
      <c r="P116" s="157"/>
    </row>
    <row r="117" spans="2:16" s="23" customFormat="1">
      <c r="L117" s="12"/>
      <c r="M117" s="12"/>
      <c r="N117" s="12"/>
      <c r="O117" s="12"/>
    </row>
    <row r="118" spans="2:16" s="23" customFormat="1" ht="15" thickBot="1">
      <c r="C118" s="110" t="str">
        <f>HL_FLU_Itemized_Train_B_Assumptions</f>
        <v>Detailed Cost Estimate: District Epidemiologists Meet w/ Health Facility Teams to Prepare</v>
      </c>
      <c r="L118" s="57">
        <f ca="1">SUM(L81,L91,L105,L116)</f>
        <v>850</v>
      </c>
      <c r="M118" s="57">
        <f ca="1">SUM(M81,M91,M105,M116)</f>
        <v>850</v>
      </c>
      <c r="N118" s="58">
        <f ca="1">SUM(N81,N91,N105,N116)</f>
        <v>5.6666666666666661</v>
      </c>
      <c r="O118" s="58">
        <f ca="1">SUM(O81,O91,O105,O116)</f>
        <v>5.6666666666666661</v>
      </c>
    </row>
    <row r="119" spans="2:16" ht="15" thickTop="1">
      <c r="K119" s="23"/>
    </row>
    <row r="120" spans="2:16" s="23" customFormat="1" ht="17.399999999999999">
      <c r="B120" s="81" t="str">
        <f>"Detailed Cost Estimate: "&amp;FLU_LU!$D$336</f>
        <v>Detailed Cost Estimate: [Available for Additional Training Activity]</v>
      </c>
    </row>
    <row r="121" spans="2:16" s="23" customFormat="1"/>
    <row r="122" spans="2:16" s="23" customFormat="1">
      <c r="F122" s="152" t="s">
        <v>691</v>
      </c>
      <c r="H122" s="160" t="str">
        <f>TRAIN!$G$18</f>
        <v>[Available for Additional Training Activity]</v>
      </c>
    </row>
    <row r="123" spans="2:16" s="61" customFormat="1"/>
    <row r="124" spans="2:16" s="23" customFormat="1">
      <c r="C124" s="160" t="str">
        <f>FLU_LU!$D$278</f>
        <v xml:space="preserve">Personnel </v>
      </c>
    </row>
    <row r="125" spans="2:16" s="23" customFormat="1" ht="43.2">
      <c r="D125" s="733" t="s">
        <v>100</v>
      </c>
      <c r="E125" s="733"/>
      <c r="F125" s="733"/>
      <c r="G125" s="733"/>
      <c r="H125" s="142" t="s">
        <v>101</v>
      </c>
      <c r="I125" s="152" t="s">
        <v>63</v>
      </c>
      <c r="J125" s="152" t="s">
        <v>67</v>
      </c>
      <c r="K125" s="72" t="s">
        <v>475</v>
      </c>
      <c r="L125" s="28" t="str">
        <f>"Financial Price ("&amp;FLU_LU!$D$79&amp;")"</f>
        <v>Financial Price (GOZ)</v>
      </c>
      <c r="M125" s="28" t="str">
        <f>"Economic Price ("&amp;FLU_LU!$D$79&amp;")"</f>
        <v>Economic Price (GOZ)</v>
      </c>
      <c r="N125" s="28" t="str">
        <f>"Financial Price ("&amp;FLU_LU!$D$78&amp;")"</f>
        <v>Financial Price (USD)</v>
      </c>
      <c r="O125" s="28" t="str">
        <f>"Economic Price ("&amp;FLU_LU!$D$78&amp;")"</f>
        <v>Economic Price (USD)</v>
      </c>
      <c r="P125" s="152" t="s">
        <v>68</v>
      </c>
    </row>
    <row r="126" spans="2:16" s="23" customFormat="1">
      <c r="D126" s="746">
        <v>1</v>
      </c>
      <c r="E126" s="746"/>
      <c r="F126" s="746"/>
      <c r="G126" s="749"/>
      <c r="H126" s="151"/>
      <c r="I126" s="31">
        <v>1</v>
      </c>
      <c r="J126" s="64"/>
      <c r="K126" s="135">
        <f t="shared" ref="K126:K131" si="3">IF(I126=1,J75/FLU_DAYS_PER_MONTH,IF(I126=2,J126/FLU_HOURS_PER_MONTH,J126/FLU_MINUTES_PER_MONTH))</f>
        <v>0</v>
      </c>
      <c r="L126" s="169">
        <f ca="1">OFFSET(Cost_Ingredients!$N$73,DD_FLU_TRAIN_C_GROUP_B_1,0)*$K75</f>
        <v>0</v>
      </c>
      <c r="M126" s="169">
        <f ca="1">OFFSET(Cost_Ingredients!$O$73,DD_FLU_TRAIN_C_GROUP_B_1,0)*$K75</f>
        <v>0</v>
      </c>
      <c r="N126" s="169">
        <f ca="1">OFFSET(Cost_Ingredients!$P$73,DD_FLU_TRAIN_C_GROUP_B_1,0)*$K75</f>
        <v>0</v>
      </c>
      <c r="O126" s="169">
        <f ca="1">OFFSET(Cost_Ingredients!$Q$73,DD_FLU_TRAIN_C_GROUP_B_1,0)*$K75</f>
        <v>0</v>
      </c>
      <c r="P126" s="158"/>
    </row>
    <row r="127" spans="2:16" s="23" customFormat="1">
      <c r="D127" s="746">
        <v>1</v>
      </c>
      <c r="E127" s="746"/>
      <c r="F127" s="746"/>
      <c r="G127" s="749"/>
      <c r="H127" s="151"/>
      <c r="I127" s="31">
        <v>1</v>
      </c>
      <c r="J127" s="64"/>
      <c r="K127" s="135">
        <f t="shared" si="3"/>
        <v>0</v>
      </c>
      <c r="L127" s="169">
        <f ca="1">OFFSET(Cost_Ingredients!$N$73,DD_FLU_TRAIN_C_GROUP_B_2,0)*$K76</f>
        <v>0</v>
      </c>
      <c r="M127" s="169">
        <f ca="1">OFFSET(Cost_Ingredients!$O$73,DD_FLU_TRAIN_C_GROUP_B_2,0)*$K76</f>
        <v>0</v>
      </c>
      <c r="N127" s="169">
        <f ca="1">OFFSET(Cost_Ingredients!$P$73,DD_FLU_TRAIN_C_GROUP_B_2,0)*$K76</f>
        <v>0</v>
      </c>
      <c r="O127" s="169">
        <f ca="1">OFFSET(Cost_Ingredients!$Q$73,DD_FLU_TRAIN_C_GROUP_B_2,0)*$K76</f>
        <v>0</v>
      </c>
      <c r="P127" s="158"/>
    </row>
    <row r="128" spans="2:16" s="23" customFormat="1">
      <c r="D128" s="746">
        <v>1</v>
      </c>
      <c r="E128" s="746"/>
      <c r="F128" s="746"/>
      <c r="G128" s="749"/>
      <c r="H128" s="151"/>
      <c r="I128" s="31">
        <v>1</v>
      </c>
      <c r="J128" s="64"/>
      <c r="K128" s="135">
        <f t="shared" si="3"/>
        <v>0</v>
      </c>
      <c r="L128" s="169">
        <f ca="1">OFFSET(Cost_Ingredients!$N$73,DD_FLU_TRAIN_C_GROUP_B_3,0)*$K77</f>
        <v>0</v>
      </c>
      <c r="M128" s="169">
        <f ca="1">OFFSET(Cost_Ingredients!$O$73,DD_FLU_TRAIN_C_GROUP_B_3,0)*$K77</f>
        <v>0</v>
      </c>
      <c r="N128" s="169">
        <f ca="1">OFFSET(Cost_Ingredients!$P$73,DD_FLU_TRAIN_C_GROUP_B_3,0)*$K77</f>
        <v>0</v>
      </c>
      <c r="O128" s="169">
        <f ca="1">OFFSET(Cost_Ingredients!$Q$73,DD_FLU_TRAIN_C_GROUP_B_3,0)*$K77</f>
        <v>0</v>
      </c>
      <c r="P128" s="158"/>
    </row>
    <row r="129" spans="3:16" s="23" customFormat="1">
      <c r="D129" s="746">
        <v>1</v>
      </c>
      <c r="E129" s="746"/>
      <c r="F129" s="746"/>
      <c r="G129" s="749"/>
      <c r="H129" s="151"/>
      <c r="I129" s="31">
        <v>1</v>
      </c>
      <c r="J129" s="64"/>
      <c r="K129" s="135">
        <f t="shared" si="3"/>
        <v>0</v>
      </c>
      <c r="L129" s="169">
        <f ca="1">OFFSET(Cost_Ingredients!$N$73,DD_FLU_TRAIN_C_GROUP_B_4,0)*$K78</f>
        <v>0</v>
      </c>
      <c r="M129" s="169">
        <f ca="1">OFFSET(Cost_Ingredients!$O$73,DD_FLU_TRAIN_C_GROUP_B_4,0)*$K78</f>
        <v>0</v>
      </c>
      <c r="N129" s="169">
        <f ca="1">OFFSET(Cost_Ingredients!$P$73,DD_FLU_TRAIN_C_GROUP_B_4,0)*$K78</f>
        <v>0</v>
      </c>
      <c r="O129" s="169">
        <f ca="1">OFFSET(Cost_Ingredients!$Q$73,DD_FLU_TRAIN_C_GROUP_B_4,0)*$K78</f>
        <v>0</v>
      </c>
      <c r="P129" s="158"/>
    </row>
    <row r="130" spans="3:16" s="23" customFormat="1">
      <c r="D130" s="746">
        <v>1</v>
      </c>
      <c r="E130" s="746"/>
      <c r="F130" s="746"/>
      <c r="G130" s="749"/>
      <c r="H130" s="151"/>
      <c r="I130" s="31">
        <v>1</v>
      </c>
      <c r="J130" s="64"/>
      <c r="K130" s="135">
        <f t="shared" si="3"/>
        <v>0</v>
      </c>
      <c r="L130" s="169">
        <f ca="1">OFFSET(Cost_Ingredients!$N$73,DD_FLU_TRAIN_C_GROUP_B_5,0)*$K79</f>
        <v>0</v>
      </c>
      <c r="M130" s="169">
        <f ca="1">OFFSET(Cost_Ingredients!$O$73,DD_FLU_TRAIN_C_GROUP_B_5,0)*$K79</f>
        <v>0</v>
      </c>
      <c r="N130" s="169">
        <f ca="1">OFFSET(Cost_Ingredients!$P$73,DD_FLU_TRAIN_C_GROUP_B_5,0)*$K79</f>
        <v>0</v>
      </c>
      <c r="O130" s="169">
        <f ca="1">OFFSET(Cost_Ingredients!$Q$73,DD_FLU_TRAIN_C_GROUP_B_5,0)*$K79</f>
        <v>0</v>
      </c>
      <c r="P130" s="158"/>
    </row>
    <row r="131" spans="3:16" s="23" customFormat="1">
      <c r="D131" s="746">
        <v>1</v>
      </c>
      <c r="E131" s="746"/>
      <c r="F131" s="746"/>
      <c r="G131" s="749"/>
      <c r="H131" s="172"/>
      <c r="I131" s="31">
        <v>1</v>
      </c>
      <c r="J131" s="173"/>
      <c r="K131" s="135">
        <f t="shared" si="3"/>
        <v>0</v>
      </c>
      <c r="L131" s="169">
        <f ca="1">OFFSET(Cost_Ingredients!$N$73,DD_FLU_TRAIN_C_GROUP_B_6,0)*$K80</f>
        <v>0</v>
      </c>
      <c r="M131" s="169">
        <f ca="1">OFFSET(Cost_Ingredients!$O$73,DD_FLU_TRAIN_C_GROUP_B_6,0)*$K80</f>
        <v>0</v>
      </c>
      <c r="N131" s="169">
        <f ca="1">OFFSET(Cost_Ingredients!$P$73,DD_FLU_TRAIN_C_GROUP_B_6,0)*$K80</f>
        <v>0</v>
      </c>
      <c r="O131" s="169">
        <f ca="1">OFFSET(Cost_Ingredients!$Q$73,DD_FLU_TRAIN_C_GROUP_B_6,0)*$K80</f>
        <v>0</v>
      </c>
      <c r="P131" s="174"/>
    </row>
    <row r="132" spans="3:16" s="23" customFormat="1" ht="15" thickBot="1">
      <c r="D132" s="759" t="s">
        <v>161</v>
      </c>
      <c r="E132" s="759"/>
      <c r="F132" s="759"/>
      <c r="G132" s="759"/>
      <c r="H132" s="157"/>
      <c r="J132" s="71"/>
      <c r="K132" s="18"/>
      <c r="L132" s="24">
        <f ca="1">SUM(L126:L131)</f>
        <v>0</v>
      </c>
      <c r="M132" s="182">
        <f ca="1">SUM(M126:M131)</f>
        <v>0</v>
      </c>
      <c r="N132" s="182">
        <f ca="1">SUM(N126:N131)</f>
        <v>0</v>
      </c>
      <c r="O132" s="182">
        <f ca="1">SUM(O126:O131)</f>
        <v>0</v>
      </c>
      <c r="P132" s="157"/>
    </row>
    <row r="133" spans="3:16" s="23" customFormat="1"/>
    <row r="134" spans="3:16" s="23" customFormat="1">
      <c r="C134" s="153" t="str">
        <f>FLU_LU!$D$279</f>
        <v>Allowances</v>
      </c>
    </row>
    <row r="135" spans="3:16" s="23" customFormat="1" ht="28.8">
      <c r="D135" s="733" t="s">
        <v>100</v>
      </c>
      <c r="E135" s="733"/>
      <c r="F135" s="733"/>
      <c r="G135" s="733"/>
      <c r="H135" s="142" t="s">
        <v>101</v>
      </c>
      <c r="I135" s="152" t="s">
        <v>63</v>
      </c>
      <c r="J135" s="152" t="s">
        <v>67</v>
      </c>
      <c r="L135" s="28" t="str">
        <f>"Financial Price ("&amp;FLU_LU!$D$79&amp;")"</f>
        <v>Financial Price (GOZ)</v>
      </c>
      <c r="M135" s="28" t="str">
        <f>"Economic Price ("&amp;FLU_LU!$D$79&amp;")"</f>
        <v>Economic Price (GOZ)</v>
      </c>
      <c r="N135" s="28" t="str">
        <f>"Financial Price ("&amp;FLU_LU!$D$78&amp;")"</f>
        <v>Financial Price (USD)</v>
      </c>
      <c r="O135" s="28" t="str">
        <f>"Economic Price ("&amp;FLU_LU!$D$78&amp;")"</f>
        <v>Economic Price (USD)</v>
      </c>
      <c r="P135" s="152" t="s">
        <v>68</v>
      </c>
    </row>
    <row r="136" spans="3:16" s="23" customFormat="1">
      <c r="D136" s="746">
        <v>1</v>
      </c>
      <c r="E136" s="746"/>
      <c r="F136" s="746"/>
      <c r="G136" s="749"/>
      <c r="H136" s="667"/>
      <c r="I136" s="667"/>
      <c r="J136" s="64"/>
      <c r="L136" s="169">
        <f ca="1">OFFSET(Cost_Ingredients!N$103,$D136,0)*$J136</f>
        <v>0</v>
      </c>
      <c r="M136" s="169">
        <f ca="1">OFFSET(Cost_Ingredients!O$103,$D136,0)*$J136</f>
        <v>0</v>
      </c>
      <c r="N136" s="176">
        <f ca="1">OFFSET(Cost_Ingredients!P$103,$D136,0)*$J136</f>
        <v>0</v>
      </c>
      <c r="O136" s="176">
        <f ca="1">OFFSET(Cost_Ingredients!Q$103,$D136,0)*$J136</f>
        <v>0</v>
      </c>
      <c r="P136" s="151"/>
    </row>
    <row r="137" spans="3:16" s="23" customFormat="1">
      <c r="D137" s="746">
        <v>1</v>
      </c>
      <c r="E137" s="746"/>
      <c r="F137" s="746"/>
      <c r="G137" s="749"/>
      <c r="H137" s="667"/>
      <c r="I137" s="667"/>
      <c r="J137" s="64"/>
      <c r="L137" s="169">
        <f ca="1">OFFSET(Cost_Ingredients!N$103,$D137,0)*$J137</f>
        <v>0</v>
      </c>
      <c r="M137" s="169">
        <f ca="1">OFFSET(Cost_Ingredients!O$103,$D137,0)*$J137</f>
        <v>0</v>
      </c>
      <c r="N137" s="176">
        <f ca="1">OFFSET(Cost_Ingredients!P$103,$D137,0)*$J137</f>
        <v>0</v>
      </c>
      <c r="O137" s="176">
        <f ca="1">OFFSET(Cost_Ingredients!Q$103,$D137,0)*$J137</f>
        <v>0</v>
      </c>
      <c r="P137" s="151"/>
    </row>
    <row r="138" spans="3:16" s="23" customFormat="1">
      <c r="D138" s="746">
        <v>1</v>
      </c>
      <c r="E138" s="746"/>
      <c r="F138" s="746"/>
      <c r="G138" s="749"/>
      <c r="H138" s="667"/>
      <c r="I138" s="667"/>
      <c r="J138" s="64"/>
      <c r="L138" s="169">
        <f ca="1">OFFSET(Cost_Ingredients!N$103,$D138,0)*$J138</f>
        <v>0</v>
      </c>
      <c r="M138" s="169">
        <f ca="1">OFFSET(Cost_Ingredients!O$103,$D138,0)*$J138</f>
        <v>0</v>
      </c>
      <c r="N138" s="176">
        <f ca="1">OFFSET(Cost_Ingredients!P$103,$D138,0)*$J138</f>
        <v>0</v>
      </c>
      <c r="O138" s="176">
        <f ca="1">OFFSET(Cost_Ingredients!Q$103,$D138,0)*$J138</f>
        <v>0</v>
      </c>
      <c r="P138" s="151"/>
    </row>
    <row r="139" spans="3:16" s="23" customFormat="1">
      <c r="D139" s="746">
        <v>1</v>
      </c>
      <c r="E139" s="746"/>
      <c r="F139" s="746"/>
      <c r="G139" s="749"/>
      <c r="H139" s="667"/>
      <c r="I139" s="667"/>
      <c r="J139" s="64"/>
      <c r="L139" s="169">
        <f ca="1">OFFSET(Cost_Ingredients!N$103,$D139,0)*$J139</f>
        <v>0</v>
      </c>
      <c r="M139" s="169">
        <f ca="1">OFFSET(Cost_Ingredients!O$103,$D139,0)*$J139</f>
        <v>0</v>
      </c>
      <c r="N139" s="176">
        <f ca="1">OFFSET(Cost_Ingredients!P$103,$D139,0)*$J139</f>
        <v>0</v>
      </c>
      <c r="O139" s="176">
        <f ca="1">OFFSET(Cost_Ingredients!Q$103,$D139,0)*$J139</f>
        <v>0</v>
      </c>
      <c r="P139" s="151"/>
    </row>
    <row r="140" spans="3:16" s="23" customFormat="1">
      <c r="D140" s="746">
        <v>1</v>
      </c>
      <c r="E140" s="746"/>
      <c r="F140" s="746"/>
      <c r="G140" s="749"/>
      <c r="H140" s="667"/>
      <c r="I140" s="667"/>
      <c r="J140" s="64"/>
      <c r="L140" s="169">
        <f ca="1">OFFSET(Cost_Ingredients!N$103,$D140,0)*$J140</f>
        <v>0</v>
      </c>
      <c r="M140" s="169">
        <f ca="1">OFFSET(Cost_Ingredients!O$103,$D140,0)*$J140</f>
        <v>0</v>
      </c>
      <c r="N140" s="176">
        <f ca="1">OFFSET(Cost_Ingredients!P$103,$D140,0)*$J140</f>
        <v>0</v>
      </c>
      <c r="O140" s="176">
        <f ca="1">OFFSET(Cost_Ingredients!Q$103,$D140,0)*$J140</f>
        <v>0</v>
      </c>
      <c r="P140" s="151"/>
    </row>
    <row r="141" spans="3:16" s="23" customFormat="1">
      <c r="D141" s="746">
        <v>1</v>
      </c>
      <c r="E141" s="746"/>
      <c r="F141" s="746"/>
      <c r="G141" s="749"/>
      <c r="H141" s="745"/>
      <c r="I141" s="745"/>
      <c r="J141" s="173">
        <v>0</v>
      </c>
      <c r="L141" s="169">
        <f ca="1">OFFSET(Cost_Ingredients!N$103,$D141,0)*$J141</f>
        <v>0</v>
      </c>
      <c r="M141" s="169">
        <f ca="1">OFFSET(Cost_Ingredients!O$103,$D141,0)*$J141</f>
        <v>0</v>
      </c>
      <c r="N141" s="176">
        <f ca="1">OFFSET(Cost_Ingredients!P$103,$D141,0)*$J141</f>
        <v>0</v>
      </c>
      <c r="O141" s="176">
        <f ca="1">OFFSET(Cost_Ingredients!Q$103,$D141,0)*$J141</f>
        <v>0</v>
      </c>
      <c r="P141" s="172"/>
    </row>
    <row r="142" spans="3:16" s="23" customFormat="1" ht="15" thickBot="1">
      <c r="D142" s="759" t="s">
        <v>161</v>
      </c>
      <c r="E142" s="759"/>
      <c r="F142" s="759"/>
      <c r="G142" s="759"/>
      <c r="H142" s="157"/>
      <c r="I142" s="157"/>
      <c r="J142" s="71"/>
      <c r="L142" s="24">
        <f ca="1">SUM(L136:L141)</f>
        <v>0</v>
      </c>
      <c r="M142" s="24">
        <f ca="1">SUM(M136:M141)</f>
        <v>0</v>
      </c>
      <c r="N142" s="25">
        <f ca="1">SUM(N136:N141)</f>
        <v>0</v>
      </c>
      <c r="O142" s="25">
        <f ca="1">SUM(O136:O141)</f>
        <v>0</v>
      </c>
      <c r="P142" s="157"/>
    </row>
    <row r="143" spans="3:16" s="23" customFormat="1"/>
    <row r="144" spans="3:16" s="23" customFormat="1">
      <c r="C144" s="153" t="str">
        <f>FLU_LU!$D$280</f>
        <v>Supplies &amp; Materials</v>
      </c>
    </row>
    <row r="145" spans="3:16" s="23" customFormat="1" ht="28.8">
      <c r="D145" s="733" t="s">
        <v>100</v>
      </c>
      <c r="E145" s="733"/>
      <c r="F145" s="733"/>
      <c r="G145" s="733"/>
      <c r="H145" s="142" t="s">
        <v>101</v>
      </c>
      <c r="I145" s="152" t="s">
        <v>63</v>
      </c>
      <c r="J145" s="152" t="s">
        <v>67</v>
      </c>
      <c r="L145" s="28" t="str">
        <f>"Financial Price ("&amp;FLU_LU!$D$79&amp;")"</f>
        <v>Financial Price (GOZ)</v>
      </c>
      <c r="M145" s="28" t="str">
        <f>"Economic Price ("&amp;FLU_LU!$D$79&amp;")"</f>
        <v>Economic Price (GOZ)</v>
      </c>
      <c r="N145" s="28" t="str">
        <f>"Financial Price ("&amp;FLU_LU!$D$78&amp;")"</f>
        <v>Financial Price (USD)</v>
      </c>
      <c r="O145" s="28" t="str">
        <f>"Economic Price ("&amp;FLU_LU!$D$78&amp;")"</f>
        <v>Economic Price (USD)</v>
      </c>
      <c r="P145" s="152" t="s">
        <v>68</v>
      </c>
    </row>
    <row r="146" spans="3:16" s="23" customFormat="1">
      <c r="D146" s="746">
        <v>1</v>
      </c>
      <c r="E146" s="746"/>
      <c r="F146" s="746"/>
      <c r="G146" s="749"/>
      <c r="H146" s="151"/>
      <c r="I146" s="169">
        <f ca="1">OFFSET(Cost_Ingredients!$M$117,$D146,0)</f>
        <v>0</v>
      </c>
      <c r="J146" s="64"/>
      <c r="L146" s="169">
        <f ca="1">OFFSET(Cost_Ingredients!N$117,$D146,0)*$J146</f>
        <v>0</v>
      </c>
      <c r="M146" s="169">
        <f ca="1">OFFSET(Cost_Ingredients!O$117,$D146,0)*$J146</f>
        <v>0</v>
      </c>
      <c r="N146" s="176">
        <f ca="1">OFFSET(Cost_Ingredients!P$117,$D146,0)*$J146</f>
        <v>0</v>
      </c>
      <c r="O146" s="176">
        <f ca="1">OFFSET(Cost_Ingredients!Q$117,$D146,0)*$J146</f>
        <v>0</v>
      </c>
      <c r="P146" s="151"/>
    </row>
    <row r="147" spans="3:16" s="23" customFormat="1">
      <c r="D147" s="746">
        <v>1</v>
      </c>
      <c r="E147" s="746"/>
      <c r="F147" s="746"/>
      <c r="G147" s="749"/>
      <c r="H147" s="151"/>
      <c r="I147" s="169">
        <f ca="1">OFFSET(Cost_Ingredients!$M$117,$D147,0)</f>
        <v>0</v>
      </c>
      <c r="J147" s="64"/>
      <c r="L147" s="169">
        <f ca="1">OFFSET(Cost_Ingredients!N$117,$D147,0)*$J147</f>
        <v>0</v>
      </c>
      <c r="M147" s="169">
        <f ca="1">OFFSET(Cost_Ingredients!O$117,$D147,0)*$J147</f>
        <v>0</v>
      </c>
      <c r="N147" s="176">
        <f ca="1">OFFSET(Cost_Ingredients!P$117,$D147,0)*$J147</f>
        <v>0</v>
      </c>
      <c r="O147" s="176">
        <f ca="1">OFFSET(Cost_Ingredients!Q$117,$D147,0)*$J147</f>
        <v>0</v>
      </c>
      <c r="P147" s="151"/>
    </row>
    <row r="148" spans="3:16" s="23" customFormat="1">
      <c r="D148" s="746">
        <v>1</v>
      </c>
      <c r="E148" s="746"/>
      <c r="F148" s="746"/>
      <c r="G148" s="749"/>
      <c r="H148" s="151"/>
      <c r="I148" s="169">
        <f ca="1">OFFSET(Cost_Ingredients!$M$117,$D148,0)</f>
        <v>0</v>
      </c>
      <c r="J148" s="64">
        <v>0</v>
      </c>
      <c r="L148" s="169">
        <f ca="1">OFFSET(Cost_Ingredients!N$117,$D148,0)*$J148</f>
        <v>0</v>
      </c>
      <c r="M148" s="169">
        <f ca="1">OFFSET(Cost_Ingredients!O$117,$D148,0)*$J148</f>
        <v>0</v>
      </c>
      <c r="N148" s="176">
        <f ca="1">OFFSET(Cost_Ingredients!P$117,$D148,0)*$J148</f>
        <v>0</v>
      </c>
      <c r="O148" s="176">
        <f ca="1">OFFSET(Cost_Ingredients!Q$117,$D148,0)*$J148</f>
        <v>0</v>
      </c>
      <c r="P148" s="151"/>
    </row>
    <row r="149" spans="3:16" s="23" customFormat="1">
      <c r="D149" s="746">
        <v>1</v>
      </c>
      <c r="E149" s="746"/>
      <c r="F149" s="746"/>
      <c r="G149" s="749"/>
      <c r="H149" s="151"/>
      <c r="I149" s="169">
        <f ca="1">OFFSET(Cost_Ingredients!$M$117,$D149,0)</f>
        <v>0</v>
      </c>
      <c r="J149" s="64">
        <v>0</v>
      </c>
      <c r="L149" s="169">
        <f ca="1">OFFSET(Cost_Ingredients!N$117,$D149,0)*$J149</f>
        <v>0</v>
      </c>
      <c r="M149" s="169">
        <f ca="1">OFFSET(Cost_Ingredients!O$117,$D149,0)*$J149</f>
        <v>0</v>
      </c>
      <c r="N149" s="176">
        <f ca="1">OFFSET(Cost_Ingredients!P$117,$D149,0)*$J149</f>
        <v>0</v>
      </c>
      <c r="O149" s="176">
        <f ca="1">OFFSET(Cost_Ingredients!Q$117,$D149,0)*$J149</f>
        <v>0</v>
      </c>
      <c r="P149" s="151"/>
    </row>
    <row r="150" spans="3:16" s="23" customFormat="1">
      <c r="D150" s="746">
        <v>1</v>
      </c>
      <c r="E150" s="746"/>
      <c r="F150" s="746"/>
      <c r="G150" s="749"/>
      <c r="H150" s="151"/>
      <c r="I150" s="169">
        <f ca="1">OFFSET(Cost_Ingredients!$M$117,$D150,0)</f>
        <v>0</v>
      </c>
      <c r="J150" s="64">
        <v>0</v>
      </c>
      <c r="L150" s="169">
        <f ca="1">OFFSET(Cost_Ingredients!N$117,$D150,0)*$J150</f>
        <v>0</v>
      </c>
      <c r="M150" s="169">
        <f ca="1">OFFSET(Cost_Ingredients!O$117,$D150,0)*$J150</f>
        <v>0</v>
      </c>
      <c r="N150" s="176">
        <f ca="1">OFFSET(Cost_Ingredients!P$117,$D150,0)*$J150</f>
        <v>0</v>
      </c>
      <c r="O150" s="176">
        <f ca="1">OFFSET(Cost_Ingredients!Q$117,$D150,0)*$J150</f>
        <v>0</v>
      </c>
      <c r="P150" s="151"/>
    </row>
    <row r="151" spans="3:16" s="23" customFormat="1">
      <c r="D151" s="746">
        <v>1</v>
      </c>
      <c r="E151" s="746"/>
      <c r="F151" s="746"/>
      <c r="G151" s="749"/>
      <c r="H151" s="151"/>
      <c r="I151" s="169">
        <f ca="1">OFFSET(Cost_Ingredients!$M$117,$D151,0)</f>
        <v>0</v>
      </c>
      <c r="J151" s="64">
        <v>0</v>
      </c>
      <c r="L151" s="169">
        <f ca="1">OFFSET(Cost_Ingredients!N$117,$D151,0)*$J151</f>
        <v>0</v>
      </c>
      <c r="M151" s="169">
        <f ca="1">OFFSET(Cost_Ingredients!O$117,$D151,0)*$J151</f>
        <v>0</v>
      </c>
      <c r="N151" s="176">
        <f ca="1">OFFSET(Cost_Ingredients!P$117,$D151,0)*$J151</f>
        <v>0</v>
      </c>
      <c r="O151" s="176">
        <f ca="1">OFFSET(Cost_Ingredients!Q$117,$D151,0)*$J151</f>
        <v>0</v>
      </c>
      <c r="P151" s="151"/>
    </row>
    <row r="152" spans="3:16" s="23" customFormat="1">
      <c r="D152" s="746">
        <v>1</v>
      </c>
      <c r="E152" s="746"/>
      <c r="F152" s="746"/>
      <c r="G152" s="749"/>
      <c r="H152" s="151"/>
      <c r="I152" s="169">
        <f ca="1">OFFSET(Cost_Ingredients!$M$117,$D152,0)</f>
        <v>0</v>
      </c>
      <c r="J152" s="64">
        <v>0</v>
      </c>
      <c r="L152" s="169">
        <f ca="1">OFFSET(Cost_Ingredients!N$117,$D152,0)*$J152</f>
        <v>0</v>
      </c>
      <c r="M152" s="169">
        <f ca="1">OFFSET(Cost_Ingredients!O$117,$D152,0)*$J152</f>
        <v>0</v>
      </c>
      <c r="N152" s="176">
        <f ca="1">OFFSET(Cost_Ingredients!P$117,$D152,0)*$J152</f>
        <v>0</v>
      </c>
      <c r="O152" s="176">
        <f ca="1">OFFSET(Cost_Ingredients!Q$117,$D152,0)*$J152</f>
        <v>0</v>
      </c>
      <c r="P152" s="151"/>
    </row>
    <row r="153" spans="3:16" s="23" customFormat="1">
      <c r="D153" s="746">
        <v>1</v>
      </c>
      <c r="E153" s="746"/>
      <c r="F153" s="746"/>
      <c r="G153" s="749"/>
      <c r="H153" s="151"/>
      <c r="I153" s="169">
        <f ca="1">OFFSET(Cost_Ingredients!$M$117,$D153,0)</f>
        <v>0</v>
      </c>
      <c r="J153" s="64">
        <v>0</v>
      </c>
      <c r="L153" s="169">
        <f ca="1">OFFSET(Cost_Ingredients!N$117,$D153,0)*$J153</f>
        <v>0</v>
      </c>
      <c r="M153" s="169">
        <f ca="1">OFFSET(Cost_Ingredients!O$117,$D153,0)*$J153</f>
        <v>0</v>
      </c>
      <c r="N153" s="176">
        <f ca="1">OFFSET(Cost_Ingredients!P$117,$D153,0)*$J153</f>
        <v>0</v>
      </c>
      <c r="O153" s="176">
        <f ca="1">OFFSET(Cost_Ingredients!Q$117,$D153,0)*$J153</f>
        <v>0</v>
      </c>
      <c r="P153" s="151"/>
    </row>
    <row r="154" spans="3:16" s="23" customFormat="1">
      <c r="D154" s="746">
        <v>1</v>
      </c>
      <c r="E154" s="746"/>
      <c r="F154" s="746"/>
      <c r="G154" s="749"/>
      <c r="H154" s="151"/>
      <c r="I154" s="169">
        <f ca="1">OFFSET(Cost_Ingredients!$M$117,$D154,0)</f>
        <v>0</v>
      </c>
      <c r="J154" s="64">
        <v>0</v>
      </c>
      <c r="L154" s="169">
        <f ca="1">OFFSET(Cost_Ingredients!N$117,$D154,0)*$J154</f>
        <v>0</v>
      </c>
      <c r="M154" s="169">
        <f ca="1">OFFSET(Cost_Ingredients!O$117,$D154,0)*$J154</f>
        <v>0</v>
      </c>
      <c r="N154" s="176">
        <f ca="1">OFFSET(Cost_Ingredients!P$117,$D154,0)*$J154</f>
        <v>0</v>
      </c>
      <c r="O154" s="176">
        <f ca="1">OFFSET(Cost_Ingredients!Q$117,$D154,0)*$J154</f>
        <v>0</v>
      </c>
      <c r="P154" s="151"/>
    </row>
    <row r="155" spans="3:16" s="23" customFormat="1">
      <c r="D155" s="746">
        <v>1</v>
      </c>
      <c r="E155" s="746"/>
      <c r="F155" s="746"/>
      <c r="G155" s="749"/>
      <c r="H155" s="172"/>
      <c r="I155" s="169">
        <f ca="1">OFFSET(Cost_Ingredients!$M$117,$D155,0)</f>
        <v>0</v>
      </c>
      <c r="J155" s="173">
        <v>0</v>
      </c>
      <c r="L155" s="169">
        <f ca="1">OFFSET(Cost_Ingredients!N$117,$D155,0)*$J155</f>
        <v>0</v>
      </c>
      <c r="M155" s="169">
        <f ca="1">OFFSET(Cost_Ingredients!O$117,$D155,0)*$J155</f>
        <v>0</v>
      </c>
      <c r="N155" s="176">
        <f ca="1">OFFSET(Cost_Ingredients!P$117,$D155,0)*$J155</f>
        <v>0</v>
      </c>
      <c r="O155" s="176">
        <f ca="1">OFFSET(Cost_Ingredients!Q$117,$D155,0)*$J155</f>
        <v>0</v>
      </c>
      <c r="P155" s="172"/>
    </row>
    <row r="156" spans="3:16" s="23" customFormat="1" ht="15" thickBot="1">
      <c r="D156" s="759" t="s">
        <v>161</v>
      </c>
      <c r="E156" s="759"/>
      <c r="F156" s="759"/>
      <c r="G156" s="759"/>
      <c r="H156" s="157"/>
      <c r="I156" s="177">
        <f ca="1">SUM(I146:I155)</f>
        <v>0</v>
      </c>
      <c r="J156" s="177">
        <f>SUM(J146:J155)</f>
        <v>0</v>
      </c>
      <c r="L156" s="24">
        <f t="shared" ref="L156:O156" ca="1" si="4">SUM(L146:L155)</f>
        <v>0</v>
      </c>
      <c r="M156" s="24">
        <f t="shared" ca="1" si="4"/>
        <v>0</v>
      </c>
      <c r="N156" s="25">
        <f t="shared" ca="1" si="4"/>
        <v>0</v>
      </c>
      <c r="O156" s="25">
        <f t="shared" ca="1" si="4"/>
        <v>0</v>
      </c>
      <c r="P156" s="157"/>
    </row>
    <row r="157" spans="3:16" s="23" customFormat="1">
      <c r="G157" s="12"/>
    </row>
    <row r="158" spans="3:16" s="23" customFormat="1">
      <c r="C158" s="153" t="str">
        <f>FLU_LU!$D$281</f>
        <v>Other Direct Costs (Recurrent)</v>
      </c>
    </row>
    <row r="159" spans="3:16" s="23" customFormat="1" ht="28.8">
      <c r="D159" s="733" t="s">
        <v>100</v>
      </c>
      <c r="E159" s="733"/>
      <c r="F159" s="733"/>
      <c r="G159" s="733"/>
      <c r="H159" s="142" t="s">
        <v>101</v>
      </c>
      <c r="I159" s="152" t="s">
        <v>63</v>
      </c>
      <c r="J159" s="152" t="s">
        <v>67</v>
      </c>
      <c r="L159" s="28" t="str">
        <f>"Financial Price ("&amp;FLU_LU!$D$79&amp;")"</f>
        <v>Financial Price (GOZ)</v>
      </c>
      <c r="M159" s="28" t="str">
        <f>"Economic Price ("&amp;FLU_LU!$D$79&amp;")"</f>
        <v>Economic Price (GOZ)</v>
      </c>
      <c r="N159" s="28" t="str">
        <f>"Financial Price ("&amp;FLU_LU!$D$78&amp;")"</f>
        <v>Financial Price (USD)</v>
      </c>
      <c r="O159" s="28" t="str">
        <f>"Economic Price ("&amp;FLU_LU!$D$78&amp;")"</f>
        <v>Economic Price (USD)</v>
      </c>
      <c r="P159" s="152" t="s">
        <v>68</v>
      </c>
    </row>
    <row r="160" spans="3:16" s="23" customFormat="1">
      <c r="D160" s="746">
        <v>1</v>
      </c>
      <c r="E160" s="746"/>
      <c r="F160" s="746"/>
      <c r="G160" s="749"/>
      <c r="H160" s="151"/>
      <c r="I160" s="169">
        <f ca="1">OFFSET(Cost_Ingredients!$M$146,$D160,0)</f>
        <v>0</v>
      </c>
      <c r="J160" s="64"/>
      <c r="L160" s="169">
        <f ca="1">OFFSET(Cost_Ingredients!N$146,$D160,0)*$J160</f>
        <v>0</v>
      </c>
      <c r="M160" s="169">
        <f ca="1">OFFSET(Cost_Ingredients!O$146,$D160,0)*$J160</f>
        <v>0</v>
      </c>
      <c r="N160" s="176">
        <f ca="1">OFFSET(Cost_Ingredients!P$146,$D160,0)*$J160</f>
        <v>0</v>
      </c>
      <c r="O160" s="176">
        <f ca="1">OFFSET(Cost_Ingredients!Q$146,$D160,0)*$J160</f>
        <v>0</v>
      </c>
      <c r="P160" s="151"/>
    </row>
    <row r="161" spans="3:16" s="23" customFormat="1">
      <c r="D161" s="746">
        <v>1</v>
      </c>
      <c r="E161" s="746"/>
      <c r="F161" s="746"/>
      <c r="G161" s="749"/>
      <c r="H161" s="151"/>
      <c r="I161" s="169">
        <f ca="1">OFFSET(Cost_Ingredients!$M$146,$D161,0)</f>
        <v>0</v>
      </c>
      <c r="J161" s="64"/>
      <c r="L161" s="169">
        <f ca="1">OFFSET(Cost_Ingredients!N$146,$D161,0)*$J161</f>
        <v>0</v>
      </c>
      <c r="M161" s="169">
        <f ca="1">OFFSET(Cost_Ingredients!O$146,$D161,0)*$J161</f>
        <v>0</v>
      </c>
      <c r="N161" s="176">
        <f ca="1">OFFSET(Cost_Ingredients!P$146,$D161,0)*$J161</f>
        <v>0</v>
      </c>
      <c r="O161" s="176">
        <f ca="1">OFFSET(Cost_Ingredients!Q$146,$D161,0)*$J161</f>
        <v>0</v>
      </c>
      <c r="P161" s="151"/>
    </row>
    <row r="162" spans="3:16" s="23" customFormat="1">
      <c r="D162" s="746">
        <v>1</v>
      </c>
      <c r="E162" s="746"/>
      <c r="F162" s="746"/>
      <c r="G162" s="749"/>
      <c r="H162" s="151"/>
      <c r="I162" s="169">
        <f ca="1">OFFSET(Cost_Ingredients!$M$146,$D162,0)</f>
        <v>0</v>
      </c>
      <c r="J162" s="64"/>
      <c r="L162" s="169">
        <f ca="1">OFFSET(Cost_Ingredients!N$146,$D162,0)*$J162</f>
        <v>0</v>
      </c>
      <c r="M162" s="169">
        <f ca="1">OFFSET(Cost_Ingredients!O$146,$D162,0)*$J162</f>
        <v>0</v>
      </c>
      <c r="N162" s="176">
        <f ca="1">OFFSET(Cost_Ingredients!P$146,$D162,0)*$J162</f>
        <v>0</v>
      </c>
      <c r="O162" s="176">
        <f ca="1">OFFSET(Cost_Ingredients!Q$146,$D162,0)*$J162</f>
        <v>0</v>
      </c>
      <c r="P162" s="151"/>
    </row>
    <row r="163" spans="3:16" s="23" customFormat="1">
      <c r="D163" s="746">
        <v>1</v>
      </c>
      <c r="E163" s="746"/>
      <c r="F163" s="746"/>
      <c r="G163" s="749"/>
      <c r="H163" s="151"/>
      <c r="I163" s="169">
        <f ca="1">OFFSET(Cost_Ingredients!$M$146,$D163,0)</f>
        <v>0</v>
      </c>
      <c r="J163" s="64"/>
      <c r="L163" s="169">
        <f ca="1">OFFSET(Cost_Ingredients!N$146,$D163,0)*$J163</f>
        <v>0</v>
      </c>
      <c r="M163" s="169">
        <f ca="1">OFFSET(Cost_Ingredients!O$146,$D163,0)*$J163</f>
        <v>0</v>
      </c>
      <c r="N163" s="176">
        <f ca="1">OFFSET(Cost_Ingredients!P$146,$D163,0)*$J163</f>
        <v>0</v>
      </c>
      <c r="O163" s="176">
        <f ca="1">OFFSET(Cost_Ingredients!Q$146,$D163,0)*$J163</f>
        <v>0</v>
      </c>
      <c r="P163" s="151"/>
    </row>
    <row r="164" spans="3:16" s="23" customFormat="1">
      <c r="D164" s="746">
        <v>1</v>
      </c>
      <c r="E164" s="746"/>
      <c r="F164" s="746"/>
      <c r="G164" s="749"/>
      <c r="H164" s="151"/>
      <c r="I164" s="169">
        <f ca="1">OFFSET(Cost_Ingredients!$M$146,$D164,0)</f>
        <v>0</v>
      </c>
      <c r="J164" s="64"/>
      <c r="L164" s="169">
        <f ca="1">OFFSET(Cost_Ingredients!N$146,$D164,0)*$J164</f>
        <v>0</v>
      </c>
      <c r="M164" s="169">
        <f ca="1">OFFSET(Cost_Ingredients!O$146,$D164,0)*$J164</f>
        <v>0</v>
      </c>
      <c r="N164" s="176">
        <f ca="1">OFFSET(Cost_Ingredients!P$146,$D164,0)*$J164</f>
        <v>0</v>
      </c>
      <c r="O164" s="176">
        <f ca="1">OFFSET(Cost_Ingredients!Q$146,$D164,0)*$J164</f>
        <v>0</v>
      </c>
      <c r="P164" s="151"/>
    </row>
    <row r="165" spans="3:16" s="23" customFormat="1">
      <c r="D165" s="746">
        <v>1</v>
      </c>
      <c r="E165" s="746"/>
      <c r="F165" s="746"/>
      <c r="G165" s="749"/>
      <c r="H165" s="151"/>
      <c r="I165" s="169">
        <f ca="1">OFFSET(Cost_Ingredients!$M$146,$D165,0)</f>
        <v>0</v>
      </c>
      <c r="J165" s="64"/>
      <c r="L165" s="169">
        <f ca="1">OFFSET(Cost_Ingredients!N$146,$D165,0)*$J165</f>
        <v>0</v>
      </c>
      <c r="M165" s="169">
        <f ca="1">OFFSET(Cost_Ingredients!O$146,$D165,0)*$J165</f>
        <v>0</v>
      </c>
      <c r="N165" s="176">
        <f ca="1">OFFSET(Cost_Ingredients!P$146,$D165,0)*$J165</f>
        <v>0</v>
      </c>
      <c r="O165" s="176">
        <f ca="1">OFFSET(Cost_Ingredients!Q$146,$D165,0)*$J165</f>
        <v>0</v>
      </c>
      <c r="P165" s="151"/>
    </row>
    <row r="166" spans="3:16" s="23" customFormat="1">
      <c r="D166" s="746">
        <v>1</v>
      </c>
      <c r="E166" s="746"/>
      <c r="F166" s="746"/>
      <c r="G166" s="749"/>
      <c r="H166" s="172"/>
      <c r="I166" s="169">
        <f ca="1">OFFSET(Cost_Ingredients!$M$146,$D166,0)</f>
        <v>0</v>
      </c>
      <c r="J166" s="173">
        <v>0</v>
      </c>
      <c r="L166" s="169">
        <f ca="1">OFFSET(Cost_Ingredients!N$146,$D166,0)*$J166</f>
        <v>0</v>
      </c>
      <c r="M166" s="169">
        <f ca="1">OFFSET(Cost_Ingredients!O$146,$D166,0)*$J166</f>
        <v>0</v>
      </c>
      <c r="N166" s="176">
        <f ca="1">OFFSET(Cost_Ingredients!P$146,$D166,0)*$J166</f>
        <v>0</v>
      </c>
      <c r="O166" s="176">
        <f ca="1">OFFSET(Cost_Ingredients!Q$146,$D166,0)*$J166</f>
        <v>0</v>
      </c>
      <c r="P166" s="172"/>
    </row>
    <row r="167" spans="3:16" s="23" customFormat="1" ht="15" thickBot="1">
      <c r="D167" s="759" t="s">
        <v>161</v>
      </c>
      <c r="E167" s="759"/>
      <c r="F167" s="759"/>
      <c r="G167" s="759"/>
      <c r="H167" s="157"/>
      <c r="I167" s="177">
        <f ca="1">SUM(I160:I166)</f>
        <v>0</v>
      </c>
      <c r="J167" s="71"/>
      <c r="L167" s="24">
        <f ca="1">SUM(L160:L166)</f>
        <v>0</v>
      </c>
      <c r="M167" s="24">
        <f ca="1">SUM(M160:M166)</f>
        <v>0</v>
      </c>
      <c r="N167" s="25">
        <f ca="1">SUM(N160:N166)</f>
        <v>0</v>
      </c>
      <c r="O167" s="25">
        <f ca="1">SUM(O160:O166)</f>
        <v>0</v>
      </c>
      <c r="P167" s="157"/>
    </row>
    <row r="168" spans="3:16" s="23" customFormat="1">
      <c r="L168" s="12"/>
      <c r="M168" s="12"/>
      <c r="N168" s="12"/>
      <c r="O168" s="12"/>
    </row>
    <row r="169" spans="3:16" s="23" customFormat="1" ht="15" thickBot="1">
      <c r="C169" s="178" t="str">
        <f>B120</f>
        <v>Detailed Cost Estimate: [Available for Additional Training Activity]</v>
      </c>
      <c r="L169" s="57">
        <f ca="1">SUM(L132,L142,L156,L167)</f>
        <v>0</v>
      </c>
      <c r="M169" s="57">
        <f ca="1">SUM(M132,M142,M156,M167)</f>
        <v>0</v>
      </c>
      <c r="N169" s="58">
        <f ca="1">SUM(N132,N142,N156,N167)</f>
        <v>0</v>
      </c>
      <c r="O169" s="58">
        <f ca="1">SUM(O132,O142,O156,O167)</f>
        <v>0</v>
      </c>
    </row>
    <row r="170" spans="3:16" ht="15" thickTop="1">
      <c r="K170" s="23"/>
      <c r="L170" s="23"/>
      <c r="N170" s="23"/>
    </row>
    <row r="171" spans="3:16" s="23" customFormat="1"/>
    <row r="172" spans="3:16" s="23" customFormat="1"/>
    <row r="173" spans="3:16" s="23" customFormat="1"/>
    <row r="174" spans="3:16" s="23" customFormat="1"/>
    <row r="175" spans="3:16" s="23" customFormat="1"/>
    <row r="176" spans="3:1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pans="12:15" s="23" customFormat="1"/>
    <row r="194" spans="12:15" s="23" customFormat="1"/>
    <row r="195" spans="12:15" s="23" customFormat="1"/>
    <row r="196" spans="12:15" s="23" customFormat="1">
      <c r="L196" s="61"/>
      <c r="M196" s="61"/>
      <c r="N196" s="61"/>
      <c r="O196" s="61"/>
    </row>
    <row r="197" spans="12:15" s="23" customFormat="1"/>
    <row r="198" spans="12:15" s="23" customFormat="1"/>
    <row r="199" spans="12:15" s="23" customFormat="1"/>
    <row r="200" spans="12:15" s="23" customFormat="1"/>
  </sheetData>
  <mergeCells count="139">
    <mergeCell ref="D21:G21"/>
    <mergeCell ref="D20:G20"/>
    <mergeCell ref="D19:G19"/>
    <mergeCell ref="D116:G116"/>
    <mergeCell ref="D50:G50"/>
    <mergeCell ref="D49:G49"/>
    <mergeCell ref="D48:G48"/>
    <mergeCell ref="D47:G47"/>
    <mergeCell ref="D46:G46"/>
    <mergeCell ref="D109:G109"/>
    <mergeCell ref="D110:G110"/>
    <mergeCell ref="D111:G111"/>
    <mergeCell ref="D112:G112"/>
    <mergeCell ref="D108:G108"/>
    <mergeCell ref="D85:G85"/>
    <mergeCell ref="D86:G86"/>
    <mergeCell ref="D87:G87"/>
    <mergeCell ref="D75:G75"/>
    <mergeCell ref="D76:G76"/>
    <mergeCell ref="D77:G77"/>
    <mergeCell ref="D81:G81"/>
    <mergeCell ref="D84:G84"/>
    <mergeCell ref="D79:G79"/>
    <mergeCell ref="D80:G80"/>
    <mergeCell ref="H138:I138"/>
    <mergeCell ref="H139:I139"/>
    <mergeCell ref="D128:G128"/>
    <mergeCell ref="H140:I140"/>
    <mergeCell ref="D105:G105"/>
    <mergeCell ref="D97:G97"/>
    <mergeCell ref="D98:G98"/>
    <mergeCell ref="D95:G95"/>
    <mergeCell ref="D96:G96"/>
    <mergeCell ref="D101:G101"/>
    <mergeCell ref="D129:G129"/>
    <mergeCell ref="D130:G130"/>
    <mergeCell ref="D104:G104"/>
    <mergeCell ref="D103:G103"/>
    <mergeCell ref="D102:G102"/>
    <mergeCell ref="D115:G115"/>
    <mergeCell ref="D113:G113"/>
    <mergeCell ref="D114:G114"/>
    <mergeCell ref="D139:G139"/>
    <mergeCell ref="D145:G145"/>
    <mergeCell ref="D146:G146"/>
    <mergeCell ref="D138:G138"/>
    <mergeCell ref="H90:I90"/>
    <mergeCell ref="D125:G125"/>
    <mergeCell ref="D126:G126"/>
    <mergeCell ref="D127:G127"/>
    <mergeCell ref="D166:G166"/>
    <mergeCell ref="D167:G167"/>
    <mergeCell ref="D161:G161"/>
    <mergeCell ref="D162:G162"/>
    <mergeCell ref="D147:G147"/>
    <mergeCell ref="D148:G148"/>
    <mergeCell ref="D149:G149"/>
    <mergeCell ref="D150:G150"/>
    <mergeCell ref="D151:G151"/>
    <mergeCell ref="D164:G164"/>
    <mergeCell ref="D165:G165"/>
    <mergeCell ref="D152:G152"/>
    <mergeCell ref="D155:G155"/>
    <mergeCell ref="D156:G156"/>
    <mergeCell ref="D159:G159"/>
    <mergeCell ref="D160:G160"/>
    <mergeCell ref="H137:I137"/>
    <mergeCell ref="D154:G154"/>
    <mergeCell ref="D153:G153"/>
    <mergeCell ref="H136:I136"/>
    <mergeCell ref="D163:G163"/>
    <mergeCell ref="H34:I34"/>
    <mergeCell ref="D17:G17"/>
    <mergeCell ref="D31:G31"/>
    <mergeCell ref="D32:G32"/>
    <mergeCell ref="D33:G33"/>
    <mergeCell ref="D34:G34"/>
    <mergeCell ref="D35:G35"/>
    <mergeCell ref="D56:G56"/>
    <mergeCell ref="D36:G36"/>
    <mergeCell ref="D37:G37"/>
    <mergeCell ref="D40:G40"/>
    <mergeCell ref="D41:G41"/>
    <mergeCell ref="D42:G42"/>
    <mergeCell ref="D74:G74"/>
    <mergeCell ref="D63:G63"/>
    <mergeCell ref="D64:G64"/>
    <mergeCell ref="D88:G88"/>
    <mergeCell ref="D140:G140"/>
    <mergeCell ref="D141:G141"/>
    <mergeCell ref="D142:G142"/>
    <mergeCell ref="D62:G62"/>
    <mergeCell ref="H89:I89"/>
    <mergeCell ref="D18:G18"/>
    <mergeCell ref="D26:G26"/>
    <mergeCell ref="D25:G25"/>
    <mergeCell ref="D24:G24"/>
    <mergeCell ref="D23:G23"/>
    <mergeCell ref="D22:G22"/>
    <mergeCell ref="B3:F3"/>
    <mergeCell ref="D12:G12"/>
    <mergeCell ref="D13:G13"/>
    <mergeCell ref="D14:G14"/>
    <mergeCell ref="D15:G15"/>
    <mergeCell ref="D16:G16"/>
    <mergeCell ref="D43:G43"/>
    <mergeCell ref="D44:G44"/>
    <mergeCell ref="D45:G45"/>
    <mergeCell ref="D51:G51"/>
    <mergeCell ref="D54:G54"/>
    <mergeCell ref="D55:G55"/>
    <mergeCell ref="D57:G57"/>
    <mergeCell ref="D58:G58"/>
    <mergeCell ref="D59:G59"/>
    <mergeCell ref="D60:G60"/>
    <mergeCell ref="H141:I141"/>
    <mergeCell ref="D131:G131"/>
    <mergeCell ref="D132:G132"/>
    <mergeCell ref="D28:G28"/>
    <mergeCell ref="D27:G27"/>
    <mergeCell ref="D78:G78"/>
    <mergeCell ref="D61:G61"/>
    <mergeCell ref="D99:G99"/>
    <mergeCell ref="D100:G100"/>
    <mergeCell ref="D135:G135"/>
    <mergeCell ref="D136:G136"/>
    <mergeCell ref="D137:G137"/>
    <mergeCell ref="D89:G89"/>
    <mergeCell ref="D90:G90"/>
    <mergeCell ref="D91:G91"/>
    <mergeCell ref="D94:G94"/>
    <mergeCell ref="H32:I32"/>
    <mergeCell ref="H33:I33"/>
    <mergeCell ref="H35:I35"/>
    <mergeCell ref="H36:I36"/>
    <mergeCell ref="H85:I85"/>
    <mergeCell ref="H86:I86"/>
    <mergeCell ref="H87:I87"/>
    <mergeCell ref="H88:I88"/>
  </mergeCells>
  <dataValidations count="6">
    <dataValidation type="decimal" operator="greaterThanOrEqual" allowBlank="1" showDropDown="1" showErrorMessage="1" errorTitle="Invalid Assumption" error="Assumption must be a value greater than or equal to zero." sqref="J32:J36 J126:J131 J75:J80 J85:J90 J41:J50 J55:J63 J109:J115 J160:J166 J136:J141 J146:J155 J95:J104 J13:J27" xr:uid="{00000000-0002-0000-1A00-000000000000}">
      <formula1>0</formula1>
    </dataValidation>
    <dataValidation type="whole" showDropDown="1" showErrorMessage="1" errorTitle="Drop Down Box Cell Link" error="The value in a drop down box cell link must be a whole number within the control's lookup range rows." sqref="D55:D63 D109:D115 D160:D166" xr:uid="{00000000-0002-0000-1A00-000001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32:D36 D136:D141 D85:D90" xr:uid="{00000000-0002-0000-1A00-000002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41:D50 D146:D155 D95:D104" xr:uid="{00000000-0002-0000-1A00-000003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I75:I80 I13:I27 I126:I131" xr:uid="{00000000-0002-0000-1A00-000004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75:G80 D126:G131 D13:D27" xr:uid="{00000000-0002-0000-1A00-000005000000}">
      <formula1>1</formula1>
      <formula2>ROWS(LU_FLU_RECC_PRICES_GROUP_A)</formula2>
    </dataValidation>
  </dataValidations>
  <hyperlinks>
    <hyperlink ref="A4" location="$B$5" tooltip="Go to Top of Sheet" display="$B$5" xr:uid="{00000000-0004-0000-1A00-000000000000}"/>
    <hyperlink ref="C4" location="HL_Sheet_Main_6" tooltip="Go to Next Sheet" display="HL_Sheet_Main_6" xr:uid="{00000000-0004-0000-1A00-000001000000}"/>
    <hyperlink ref="B4" location="HL_Sheet_Main_24" tooltip="Go to Previous Sheet" display="HL_Sheet_Main_24" xr:uid="{00000000-0004-0000-1A00-000002000000}"/>
    <hyperlink ref="B3" location="HL_Home" tooltip="Go to Table of Contents" display="HL_Home" xr:uid="{00000000-0004-0000-1A00-000003000000}"/>
    <hyperlink ref="D4" location="HL_Err_Chk" tooltip="Go to Error Checks" display="HL_Err_Chk" xr:uid="{00000000-0004-0000-1A00-000004000000}"/>
    <hyperlink ref="E4" location="HL_Sens_Chk" tooltip="Go to Sensitivity Checks" display="HL_Sens_Chk" xr:uid="{00000000-0004-0000-1A00-000005000000}"/>
    <hyperlink ref="F4" location="HL_Alt_Chk" tooltip="Go to Alert Checks" display="HL_Alt_Chk" xr:uid="{00000000-0004-0000-1A00-000006000000}"/>
  </hyperlinks>
  <pageMargins left="0.4" right="0.4" top="0.6" bottom="1" header="0" footer="0.3"/>
  <pageSetup orientation="landscape" horizontalDpi="4294967292" verticalDpi="0" r:id="rId1"/>
  <headerFooter>
    <oddFooter>&amp;L&amp;F
&amp;A
Printed: &amp;T on &amp;D&amp;C&amp;",Bold"Sheet 3.1.b.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8546" r:id="rId4" name="bpmDropDownFLU183">
              <controlPr defaultSize="0" autoFill="0" autoPict="0">
                <anchor moveWithCells="1">
                  <from>
                    <xdr:col>3</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278547" r:id="rId5" name="bpmDropDownFLU184">
              <controlPr defaultSize="0" autoFill="0" autoPict="0">
                <anchor moveWithCells="1">
                  <from>
                    <xdr:col>3</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278548" r:id="rId6" name="bpmDropDownFLU185">
              <controlPr defaultSize="0" autoFill="0" autoPict="0">
                <anchor moveWithCells="1">
                  <from>
                    <xdr:col>3</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278549" r:id="rId7" name="bpmDropDownFLU186">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78550" r:id="rId8" name="bpmDropDownFLU187">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278551" r:id="rId9" name="bpmDropDownFLU188">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78552" r:id="rId10" name="bpmDropDownFLU189">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278553" r:id="rId11" name="bpmDropDownFLU190">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278554" r:id="rId12" name="bpmDropDownFLU191">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278555" r:id="rId13" name="bpmDropDownFLU192">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278556" r:id="rId14" name="bpmDropDownFLU193">
              <controlPr defaultSize="0" autoFill="0" autoPict="0">
                <anchor moveWithCells="1">
                  <from>
                    <xdr:col>3</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278557" r:id="rId15" name="bpmDropDownFLU194">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278558" r:id="rId16" name="bpmDropDownFLU195">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278559" r:id="rId17" name="bpmDropDownFLU196">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78560" r:id="rId18" name="bpmDropDownFLU197">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278561" r:id="rId19" name="bpmDropDownFLU198">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278562" r:id="rId20" name="bpmDropDownFLU199">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278563" r:id="rId21" name="bpmDropDownFLU200">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278564" r:id="rId22" name="bpmDropDownFLU201">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278571" r:id="rId23" name="bpmDropDownFLU208">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278572" r:id="rId24" name="bpmDropDownFLU209">
              <controlPr defaultSize="0" autoFill="0" autoPict="0">
                <anchor moveWithCells="1">
                  <from>
                    <xdr:col>3</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278573" r:id="rId25" name="bpmDropDownFLU210">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278574" r:id="rId26" name="bpmDropDownFLU211">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278575" r:id="rId27" name="bpmDropDownFLU212">
              <controlPr defaultSize="0" autoFill="0" autoPict="0">
                <anchor moveWithCells="1">
                  <from>
                    <xdr:col>3</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278576" r:id="rId28" name="bpmDropDownFLU213">
              <controlPr defaultSize="0" autoFill="0" autoPict="0">
                <anchor moveWithCells="1">
                  <from>
                    <xdr:col>3</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278577" r:id="rId29" name="bpmDropDownFLU214">
              <controlPr defaultSize="0" autoFill="0" autoPict="0">
                <anchor moveWithCells="1">
                  <from>
                    <xdr:col>3</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278578" r:id="rId30" name="bpmDropDownFLU215">
              <controlPr defaultSize="0" autoFill="0" autoPict="0">
                <anchor moveWithCells="1">
                  <from>
                    <xdr:col>3</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278579" r:id="rId31" name="bpmDropDownFLU216">
              <controlPr defaultSize="0" autoFill="0" autoPict="0">
                <anchor moveWithCells="1">
                  <from>
                    <xdr:col>3</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278580" r:id="rId32" name="bpmDropDownFLU217">
              <controlPr defaultSize="0" autoFill="0" autoPict="0">
                <anchor moveWithCells="1">
                  <from>
                    <xdr:col>3</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278581" r:id="rId33" name="bpmDropDownFLU218">
              <controlPr defaultSize="0" autoFill="0" autoPict="0">
                <anchor moveWithCells="1">
                  <from>
                    <xdr:col>3</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278582" r:id="rId34" name="bpmDropDownFLU219">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278583" r:id="rId35" name="bpmDropDownFLU220">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278584" r:id="rId36" name="bpmDropDownFLU221">
              <controlPr defaultSize="0" autoFill="0" autoPict="0">
                <anchor moveWithCells="1">
                  <from>
                    <xdr:col>3</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278585" r:id="rId37" name="bpmDropDownFLU222">
              <controlPr defaultSize="0" autoFill="0" autoPict="0">
                <anchor moveWithCells="1">
                  <from>
                    <xdr:col>3</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278586" r:id="rId38" name="bpmDropDownFLU223">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278587" r:id="rId39" name="bpmDropDownFLU224">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278588" r:id="rId40" name="bpmDropDownFLU225">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278589" r:id="rId41" name="bpmDropDownFLU226">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278596" r:id="rId42" name="bpmDropDownFLU571">
              <controlPr defaultSize="0" autoFill="0" autoPict="0">
                <anchor moveWithCells="1">
                  <from>
                    <xdr:col>3</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278597" r:id="rId43" name="bpmDropDownFLU572">
              <controlPr defaultSize="0" autoFill="0" autoPict="0">
                <anchor moveWithCells="1">
                  <from>
                    <xdr:col>3</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278598" r:id="rId44" name="bpmDropDownFLU573">
              <controlPr defaultSize="0" autoFill="0" autoPict="0">
                <anchor moveWithCells="1">
                  <from>
                    <xdr:col>3</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278599" r:id="rId45" name="bpmDropDownFLU574">
              <controlPr defaultSize="0" autoFill="0" autoPict="0">
                <anchor moveWithCells="1">
                  <from>
                    <xdr:col>3</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278600" r:id="rId46" name="bpmDropDownFLU575">
              <controlPr defaultSize="0" autoFill="0" autoPict="0">
                <anchor moveWithCells="1">
                  <from>
                    <xdr:col>3</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278601" r:id="rId47" name="bpmDropDownFLU576">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278602" r:id="rId48" name="bpmDropDownFLU577">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278603" r:id="rId49" name="bpmDropDownFLU578">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278604" r:id="rId50" name="bpmDropDownFLU579">
              <controlPr defaultSize="0" autoFill="0" autoPict="0">
                <anchor moveWithCells="1">
                  <from>
                    <xdr:col>3</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278605" r:id="rId51" name="bpmDropDownFLU580">
              <controlPr defaultSize="0" autoFill="0" autoPict="0">
                <anchor moveWithCells="1">
                  <from>
                    <xdr:col>3</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278606" r:id="rId52" name="bpmDropDownFLU581">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278607" r:id="rId53" name="bpmDropDownFLU582">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278608" r:id="rId54" name="bpmDropDownFLU583">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278609" r:id="rId55" name="bpmDropDownFLU584">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278610" r:id="rId56" name="bpmDropDownFLU585">
              <controlPr defaultSize="0" autoFill="0" autoPict="0">
                <anchor moveWithCells="1">
                  <from>
                    <xdr:col>3</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278611" r:id="rId57" name="bpmDropDownFLU586">
              <controlPr defaultSize="0" autoFill="0" autoPict="0">
                <anchor moveWithCells="1">
                  <from>
                    <xdr:col>3</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278612" r:id="rId58" name="bpmDropDownFLU587">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278613" r:id="rId59" name="bpmDropDownFLU588">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278614" r:id="rId60" name="bpmDropDownFLU589">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278615" r:id="rId61" name="bpmDropDownFLU386">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278616" r:id="rId62" name="bpmDropDownFLU387">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278617" r:id="rId63" name="bpmDropDownFLU942">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278618" r:id="rId64" name="bpmDropDownFLU943">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278619" r:id="rId65" name="bpmDropDownFLU944">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278620" r:id="rId66" name="bpmDropDownFLU945">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278621" r:id="rId67" name="bpmDropDownFLU946">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278622" r:id="rId68" name="bpmDropDownFLU947">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278633" r:id="rId69" name="bpmDropDownFLU1228">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278634" r:id="rId70" name="bpmDropDownFLU1229">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78635" r:id="rId71" name="bpmDropDownFLU1230">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78636" r:id="rId72" name="bpmDropDownFLU1231">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278637" r:id="rId73" name="bpmDropDownFLU1232">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278639" r:id="rId74" name="bpmDropDownFLU6">
              <controlPr defaultSize="0" autoFill="0" autoPict="0">
                <anchor moveWithCells="1">
                  <from>
                    <xdr:col>8</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278640" r:id="rId75" name="bpmDropDownFLU7">
              <controlPr defaultSize="0" autoFill="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78641" r:id="rId76" name="bpmDropDownFLU8">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78642" r:id="rId77" name="bpmDropDownFLU10">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78643" r:id="rId78" name="bpmDropDownFLU25">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78644" r:id="rId79" name="bpmDropDownFLU28">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78645" r:id="rId80" name="bpmDropDownFLU29">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78646" r:id="rId81" name="bpmDropDownFLU30">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78648" r:id="rId82" name="bpmDropDownFLU32">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78649" r:id="rId83" name="bpmDropDownFLU33">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78650" r:id="rId84" name="bpmDropDownFLU34">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78651" r:id="rId85" name="bpmDropDownFLU45">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78652" r:id="rId86" name="bpmDropDownFLU46">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78653" r:id="rId87" name="bpmDropDownFLU47">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78654" r:id="rId88" name="bpmDropDownFLU48">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78655" r:id="rId89" name="bpmDropDownFLU49">
              <controlPr defaultSize="0" autoFill="0" autoPict="0">
                <anchor moveWithCells="1">
                  <from>
                    <xdr:col>3</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78656" r:id="rId90" name="bpmDropDownFLU50">
              <controlPr defaultSize="0" autoFill="0" autoPict="0">
                <anchor moveWithCells="1">
                  <from>
                    <xdr:col>3</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78657" r:id="rId91" name="bpmDropDownFLU51">
              <controlPr defaultSize="0" autoFill="0" autoPict="0">
                <anchor moveWithCells="1">
                  <from>
                    <xdr:col>3</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78658" r:id="rId92" name="bpmDropDownFLU52">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78659" r:id="rId93" name="bpmDropDownFLU57">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78660" r:id="rId94" name="bpmDropDownFLU59">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78661" r:id="rId95" name="bpmDropDownFLU63">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78662" r:id="rId96" name="bpmDropDownFLU64">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278664" r:id="rId97" name="bpmDropDownFLU78">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278665" r:id="rId98" name="bpmDropDownFLU81">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78666" r:id="rId99" name="bpmDropDownFLU82">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78667" r:id="rId100" name="bpmDropDownFLU83">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278668" r:id="rId101" name="bpmDropDownFLU84">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78669" r:id="rId102" name="bpmDropDownFLU85">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78670" r:id="rId103" name="bpmDropDownFLU86">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78671" r:id="rId104" name="bpmDropDownFLU87">
              <controlPr defaultSize="0" autoFill="0" autoPict="0">
                <anchor moveWithCells="1">
                  <from>
                    <xdr:col>3</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278672" r:id="rId105" name="bpmDropDownFLU88">
              <controlPr defaultSize="0" autoFill="0" autoPict="0">
                <anchor moveWithCells="1">
                  <from>
                    <xdr:col>3</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278673" r:id="rId106" name="bpmDropDownFLU89">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278674" r:id="rId107" name="bpmDropDownFLU90">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278675" r:id="rId108" name="bpmDropDownFLU91">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278676" r:id="rId109" name="bpmDropDownFLU92">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278677" r:id="rId110" name="bpmDropDownFLU93">
              <controlPr defaultSize="0" autoFill="0" autoPict="0">
                <anchor moveWithCells="1">
                  <from>
                    <xdr:col>8</xdr:col>
                    <xdr:colOff>0</xdr:colOff>
                    <xdr:row>74</xdr:row>
                    <xdr:rowOff>0</xdr:rowOff>
                  </from>
                  <to>
                    <xdr:col>9</xdr:col>
                    <xdr:colOff>0</xdr:colOff>
                    <xdr:row>75</xdr:row>
                    <xdr:rowOff>0</xdr:rowOff>
                  </to>
                </anchor>
              </controlPr>
            </control>
          </mc:Choice>
        </mc:AlternateContent>
        <mc:AlternateContent xmlns:mc="http://schemas.openxmlformats.org/markup-compatibility/2006">
          <mc:Choice Requires="x14">
            <control shapeId="278678" r:id="rId111" name="bpmDropDownFLU95">
              <controlPr defaultSize="0" autoFill="0" autoPict="0">
                <anchor moveWithCells="1">
                  <from>
                    <xdr:col>8</xdr:col>
                    <xdr:colOff>0</xdr:colOff>
                    <xdr:row>75</xdr:row>
                    <xdr:rowOff>0</xdr:rowOff>
                  </from>
                  <to>
                    <xdr:col>9</xdr:col>
                    <xdr:colOff>0</xdr:colOff>
                    <xdr:row>76</xdr:row>
                    <xdr:rowOff>0</xdr:rowOff>
                  </to>
                </anchor>
              </controlPr>
            </control>
          </mc:Choice>
        </mc:AlternateContent>
        <mc:AlternateContent xmlns:mc="http://schemas.openxmlformats.org/markup-compatibility/2006">
          <mc:Choice Requires="x14">
            <control shapeId="278679" r:id="rId112" name="bpmDropDownFLU96">
              <controlPr defaultSize="0" autoFill="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278680" r:id="rId113" name="bpmDropDownFLU97">
              <controlPr defaultSize="0" autoFill="0" autoPict="0">
                <anchor moveWithCells="1">
                  <from>
                    <xdr:col>8</xdr:col>
                    <xdr:colOff>0</xdr:colOff>
                    <xdr:row>77</xdr:row>
                    <xdr:rowOff>0</xdr:rowOff>
                  </from>
                  <to>
                    <xdr:col>9</xdr:col>
                    <xdr:colOff>0</xdr:colOff>
                    <xdr:row>78</xdr:row>
                    <xdr:rowOff>0</xdr:rowOff>
                  </to>
                </anchor>
              </controlPr>
            </control>
          </mc:Choice>
        </mc:AlternateContent>
        <mc:AlternateContent xmlns:mc="http://schemas.openxmlformats.org/markup-compatibility/2006">
          <mc:Choice Requires="x14">
            <control shapeId="278681" r:id="rId114" name="bpmDropDownFLU98">
              <controlPr defaultSize="0" autoFill="0" autoPict="0">
                <anchor moveWithCells="1">
                  <from>
                    <xdr:col>8</xdr:col>
                    <xdr:colOff>0</xdr:colOff>
                    <xdr:row>78</xdr:row>
                    <xdr:rowOff>0</xdr:rowOff>
                  </from>
                  <to>
                    <xdr:col>9</xdr:col>
                    <xdr:colOff>0</xdr:colOff>
                    <xdr:row>79</xdr:row>
                    <xdr:rowOff>0</xdr:rowOff>
                  </to>
                </anchor>
              </controlPr>
            </control>
          </mc:Choice>
        </mc:AlternateContent>
        <mc:AlternateContent xmlns:mc="http://schemas.openxmlformats.org/markup-compatibility/2006">
          <mc:Choice Requires="x14">
            <control shapeId="278682" r:id="rId115" name="bpmDropDownFLU99">
              <controlPr defaultSize="0" autoFill="0" autoPict="0">
                <anchor moveWithCells="1">
                  <from>
                    <xdr:col>8</xdr:col>
                    <xdr:colOff>0</xdr:colOff>
                    <xdr:row>79</xdr:row>
                    <xdr:rowOff>0</xdr:rowOff>
                  </from>
                  <to>
                    <xdr:col>9</xdr:col>
                    <xdr:colOff>0</xdr:colOff>
                    <xdr:row>80</xdr:row>
                    <xdr:rowOff>0</xdr:rowOff>
                  </to>
                </anchor>
              </controlPr>
            </control>
          </mc:Choice>
        </mc:AlternateContent>
        <mc:AlternateContent xmlns:mc="http://schemas.openxmlformats.org/markup-compatibility/2006">
          <mc:Choice Requires="x14">
            <control shapeId="278683" r:id="rId116" name="bpmDropDownFLU103">
              <controlPr defaultSize="0" autoFill="0" autoPict="0">
                <anchor moveWithCells="1">
                  <from>
                    <xdr:col>8</xdr:col>
                    <xdr:colOff>0</xdr:colOff>
                    <xdr:row>125</xdr:row>
                    <xdr:rowOff>0</xdr:rowOff>
                  </from>
                  <to>
                    <xdr:col>9</xdr:col>
                    <xdr:colOff>0</xdr:colOff>
                    <xdr:row>126</xdr:row>
                    <xdr:rowOff>0</xdr:rowOff>
                  </to>
                </anchor>
              </controlPr>
            </control>
          </mc:Choice>
        </mc:AlternateContent>
        <mc:AlternateContent xmlns:mc="http://schemas.openxmlformats.org/markup-compatibility/2006">
          <mc:Choice Requires="x14">
            <control shapeId="278684" r:id="rId117" name="bpmDropDownFLU104">
              <controlPr defaultSize="0" autoFill="0" autoPict="0">
                <anchor moveWithCells="1">
                  <from>
                    <xdr:col>8</xdr:col>
                    <xdr:colOff>0</xdr:colOff>
                    <xdr:row>126</xdr:row>
                    <xdr:rowOff>0</xdr:rowOff>
                  </from>
                  <to>
                    <xdr:col>9</xdr:col>
                    <xdr:colOff>0</xdr:colOff>
                    <xdr:row>127</xdr:row>
                    <xdr:rowOff>0</xdr:rowOff>
                  </to>
                </anchor>
              </controlPr>
            </control>
          </mc:Choice>
        </mc:AlternateContent>
        <mc:AlternateContent xmlns:mc="http://schemas.openxmlformats.org/markup-compatibility/2006">
          <mc:Choice Requires="x14">
            <control shapeId="278685" r:id="rId118" name="bpmDropDownFLU105">
              <controlPr defaultSize="0" autoFill="0" autoPict="0">
                <anchor moveWithCells="1">
                  <from>
                    <xdr:col>8</xdr:col>
                    <xdr:colOff>0</xdr:colOff>
                    <xdr:row>127</xdr:row>
                    <xdr:rowOff>0</xdr:rowOff>
                  </from>
                  <to>
                    <xdr:col>9</xdr:col>
                    <xdr:colOff>0</xdr:colOff>
                    <xdr:row>128</xdr:row>
                    <xdr:rowOff>0</xdr:rowOff>
                  </to>
                </anchor>
              </controlPr>
            </control>
          </mc:Choice>
        </mc:AlternateContent>
        <mc:AlternateContent xmlns:mc="http://schemas.openxmlformats.org/markup-compatibility/2006">
          <mc:Choice Requires="x14">
            <control shapeId="278686" r:id="rId119" name="bpmDropDownFLU106">
              <controlPr defaultSize="0" autoFill="0" autoPict="0">
                <anchor moveWithCells="1">
                  <from>
                    <xdr:col>8</xdr:col>
                    <xdr:colOff>0</xdr:colOff>
                    <xdr:row>128</xdr:row>
                    <xdr:rowOff>0</xdr:rowOff>
                  </from>
                  <to>
                    <xdr:col>9</xdr:col>
                    <xdr:colOff>0</xdr:colOff>
                    <xdr:row>129</xdr:row>
                    <xdr:rowOff>0</xdr:rowOff>
                  </to>
                </anchor>
              </controlPr>
            </control>
          </mc:Choice>
        </mc:AlternateContent>
        <mc:AlternateContent xmlns:mc="http://schemas.openxmlformats.org/markup-compatibility/2006">
          <mc:Choice Requires="x14">
            <control shapeId="278687" r:id="rId120" name="bpmDropDownFLU107">
              <controlPr defaultSize="0" autoFill="0" autoPict="0">
                <anchor moveWithCells="1">
                  <from>
                    <xdr:col>8</xdr:col>
                    <xdr:colOff>0</xdr:colOff>
                    <xdr:row>129</xdr:row>
                    <xdr:rowOff>0</xdr:rowOff>
                  </from>
                  <to>
                    <xdr:col>9</xdr:col>
                    <xdr:colOff>0</xdr:colOff>
                    <xdr:row>130</xdr:row>
                    <xdr:rowOff>0</xdr:rowOff>
                  </to>
                </anchor>
              </controlPr>
            </control>
          </mc:Choice>
        </mc:AlternateContent>
        <mc:AlternateContent xmlns:mc="http://schemas.openxmlformats.org/markup-compatibility/2006">
          <mc:Choice Requires="x14">
            <control shapeId="278688" r:id="rId121" name="bpmDropDownFLU108">
              <controlPr defaultSize="0" autoFill="0" autoPict="0">
                <anchor moveWithCells="1">
                  <from>
                    <xdr:col>8</xdr:col>
                    <xdr:colOff>0</xdr:colOff>
                    <xdr:row>130</xdr:row>
                    <xdr:rowOff>0</xdr:rowOff>
                  </from>
                  <to>
                    <xdr:col>9</xdr:col>
                    <xdr:colOff>0</xdr:colOff>
                    <xdr:row>131</xdr:row>
                    <xdr:rowOff>0</xdr:rowOff>
                  </to>
                </anchor>
              </controlPr>
            </control>
          </mc:Choice>
        </mc:AlternateContent>
        <mc:AlternateContent xmlns:mc="http://schemas.openxmlformats.org/markup-compatibility/2006">
          <mc:Choice Requires="x14">
            <control shapeId="278689" r:id="rId122" name="bpmDropDownFLU120">
              <controlPr defaultSize="0" autoFill="0" autoPict="0">
                <anchor moveWithCells="1">
                  <from>
                    <xdr:col>3</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278690" r:id="rId123" name="bpmDropDownFLU148">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278691" r:id="rId124" name="bpmDropDownFLU166">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278692" r:id="rId125" name="bpmDropDownFLU167">
              <controlPr defaultSize="0" autoFill="0" autoPict="0">
                <anchor moveWithCells="1">
                  <from>
                    <xdr:col>3</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278693" r:id="rId126" name="bpmDropDownFLU168">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278694" r:id="rId127" name="bpmDropDownFLU169">
              <controlPr defaultSize="0" autoFill="0" autoPict="0">
                <anchor moveWithCells="1">
                  <from>
                    <xdr:col>3</xdr:col>
                    <xdr:colOff>0</xdr:colOff>
                    <xdr:row>130</xdr:row>
                    <xdr:rowOff>0</xdr:rowOff>
                  </from>
                  <to>
                    <xdr:col>7</xdr:col>
                    <xdr:colOff>0</xdr:colOff>
                    <xdr:row>131</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2">
    <tabColor indexed="62"/>
    <pageSetUpPr autoPageBreaks="0"/>
  </sheetPr>
  <dimension ref="A1:R176"/>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6" width="3.6640625" style="134" customWidth="1"/>
    <col min="7" max="7" width="20.6640625" style="134" customWidth="1"/>
    <col min="8" max="8" width="30.6640625" style="134" customWidth="1"/>
    <col min="9" max="9" width="10.6640625" style="134" customWidth="1"/>
    <col min="10" max="10" width="30.6640625" style="134" customWidth="1"/>
    <col min="11" max="15" width="11.6640625" style="134" customWidth="1"/>
    <col min="16" max="16" width="30.6640625" style="134" customWidth="1"/>
    <col min="17" max="18" width="11.6640625" style="134" customWidth="1"/>
    <col min="19" max="16384" width="11.6640625" style="134" hidden="1"/>
  </cols>
  <sheetData>
    <row r="1" spans="1:16" ht="21">
      <c r="B1" s="46" t="s">
        <v>530</v>
      </c>
    </row>
    <row r="2" spans="1:16" ht="18">
      <c r="B2" s="47" t="str">
        <f>Model_Name</f>
        <v>Seasonal Influenza Immunization Costing Tool (SIICT)  - Test Country</v>
      </c>
    </row>
    <row r="3" spans="1:16">
      <c r="B3" s="716" t="s">
        <v>1</v>
      </c>
      <c r="C3" s="716"/>
      <c r="D3" s="716"/>
      <c r="E3" s="716"/>
      <c r="F3" s="716"/>
      <c r="G3" s="716"/>
    </row>
    <row r="4" spans="1:16">
      <c r="A4" s="48" t="s">
        <v>3</v>
      </c>
      <c r="B4" s="49" t="s">
        <v>4</v>
      </c>
      <c r="C4" s="50" t="s">
        <v>5</v>
      </c>
      <c r="D4" s="51" t="s">
        <v>25</v>
      </c>
      <c r="E4" s="79" t="s">
        <v>26</v>
      </c>
      <c r="F4" s="52" t="s">
        <v>27</v>
      </c>
    </row>
    <row r="5" spans="1:16">
      <c r="K5" s="23"/>
    </row>
    <row r="6" spans="1:16">
      <c r="K6" s="23"/>
    </row>
    <row r="7" spans="1:16" ht="17.399999999999999">
      <c r="B7" s="15" t="s">
        <v>520</v>
      </c>
      <c r="K7" s="23"/>
    </row>
    <row r="8" spans="1:16">
      <c r="K8" s="23"/>
    </row>
    <row r="9" spans="1:16" s="23" customFormat="1" ht="15.6">
      <c r="C9" s="171" t="str">
        <f>"Detailed Cost Estimate: "&amp;FLU_LU!$D$341</f>
        <v>Detailed Cost Estimate: Media relations established</v>
      </c>
    </row>
    <row r="10" spans="1:16" s="23" customFormat="1"/>
    <row r="11" spans="1:16">
      <c r="F11" s="152" t="s">
        <v>691</v>
      </c>
      <c r="H11" s="765" t="str">
        <f>IEC!$G$16</f>
        <v>Press Inquiries managed during vaccination prep and campaign</v>
      </c>
      <c r="I11" s="766"/>
      <c r="J11" s="766"/>
      <c r="K11" s="766"/>
      <c r="L11" s="766"/>
      <c r="M11" s="766"/>
      <c r="N11" s="766"/>
      <c r="O11" s="766"/>
      <c r="P11" s="766"/>
    </row>
    <row r="12" spans="1:16" s="23" customFormat="1"/>
    <row r="13" spans="1:16">
      <c r="K13" s="23"/>
    </row>
    <row r="14" spans="1:16">
      <c r="C14" s="160" t="str">
        <f>FLU_LU!$D$278</f>
        <v xml:space="preserve">Personnel </v>
      </c>
      <c r="K14" s="23"/>
    </row>
    <row r="15" spans="1:16" ht="43.2">
      <c r="D15" s="733" t="s">
        <v>100</v>
      </c>
      <c r="E15" s="733"/>
      <c r="F15" s="733"/>
      <c r="G15" s="733"/>
      <c r="H15" s="142" t="s">
        <v>274</v>
      </c>
      <c r="I15" s="72" t="s">
        <v>474</v>
      </c>
      <c r="J15" s="152" t="s">
        <v>67</v>
      </c>
      <c r="K15" s="72" t="s">
        <v>475</v>
      </c>
      <c r="L15" s="28" t="str">
        <f>"Financial Price ("&amp;FLU_LU!$D$79&amp;")"</f>
        <v>Financial Price (GOZ)</v>
      </c>
      <c r="M15" s="28" t="str">
        <f>"Economic Price ("&amp;FLU_LU!$D$79&amp;")"</f>
        <v>Economic Price (GOZ)</v>
      </c>
      <c r="N15" s="28" t="str">
        <f>"Financial Price ("&amp;FLU_LU!$D$78&amp;")"</f>
        <v>Financial Price (USD)</v>
      </c>
      <c r="O15" s="28" t="str">
        <f>"Economic Price ("&amp;FLU_LU!$D$78&amp;")"</f>
        <v>Economic Price (USD)</v>
      </c>
      <c r="P15" s="152" t="s">
        <v>68</v>
      </c>
    </row>
    <row r="16" spans="1:16" s="23" customFormat="1">
      <c r="D16" s="746">
        <v>1</v>
      </c>
      <c r="E16" s="746"/>
      <c r="F16" s="746"/>
      <c r="G16" s="749"/>
      <c r="H16" s="151" t="s">
        <v>153</v>
      </c>
      <c r="I16" s="31">
        <v>1</v>
      </c>
      <c r="J16" s="64">
        <v>4</v>
      </c>
      <c r="K16" s="135">
        <f t="shared" ref="K16:K30" si="0">IF(I16=1,J16/FLU_DAYS_PER_MONTH,IF(I16=2,J16/FLU_HOURS_PER_MONTH,J16/FLU_MINUTES_PER_MONTH))</f>
        <v>0.18181818181818182</v>
      </c>
      <c r="L16" s="162">
        <f ca="1">OFFSET(Cost_Ingredients!$N$73,DD_FLU_SOCMOB1_GROUP_B_1,0)*$K16</f>
        <v>0</v>
      </c>
      <c r="M16" s="162">
        <f ca="1">OFFSET(Cost_Ingredients!$O$73,DD_FLU_SOCMOB1_GROUP_B_1,0)*$K16</f>
        <v>0</v>
      </c>
      <c r="N16" s="179">
        <f ca="1">OFFSET(Cost_Ingredients!$P$73,DD_FLU_SOCMOB1_GROUP_B_1,0)*$K16</f>
        <v>0</v>
      </c>
      <c r="O16" s="179">
        <f ca="1">OFFSET(Cost_Ingredients!$Q$73,DD_FLU_SOCMOB1_GROUP_B_1,0)*$K16</f>
        <v>0</v>
      </c>
      <c r="P16" s="151"/>
    </row>
    <row r="17" spans="4:16" s="23" customFormat="1">
      <c r="D17" s="746">
        <v>4</v>
      </c>
      <c r="E17" s="746"/>
      <c r="F17" s="746"/>
      <c r="G17" s="749"/>
      <c r="H17" s="151" t="s">
        <v>153</v>
      </c>
      <c r="I17" s="31">
        <v>1</v>
      </c>
      <c r="J17" s="64">
        <v>3</v>
      </c>
      <c r="K17" s="135">
        <f t="shared" si="0"/>
        <v>0.13636363636363635</v>
      </c>
      <c r="L17" s="162">
        <f ca="1">OFFSET(Cost_Ingredients!$N$73,DD_FLU_SOCMOB1_GROUP_B_2,0)*$K17</f>
        <v>0</v>
      </c>
      <c r="M17" s="162">
        <f ca="1">OFFSET(Cost_Ingredients!$O$73,DD_FLU_SOCMOB1_GROUP_B_2,0)*$K17</f>
        <v>7161.1363636363631</v>
      </c>
      <c r="N17" s="179">
        <f ca="1">OFFSET(Cost_Ingredients!$P$73,DD_FLU_SOCMOB1_GROUP_B_2,0)*$K17</f>
        <v>0</v>
      </c>
      <c r="O17" s="179">
        <f ca="1">OFFSET(Cost_Ingredients!$Q$73,DD_FLU_SOCMOB1_GROUP_B_2,0)*$K17</f>
        <v>47.740909090909092</v>
      </c>
      <c r="P17" s="151"/>
    </row>
    <row r="18" spans="4:16" s="23" customFormat="1">
      <c r="D18" s="746">
        <v>1</v>
      </c>
      <c r="E18" s="746"/>
      <c r="F18" s="746"/>
      <c r="G18" s="749"/>
      <c r="H18" s="151" t="s">
        <v>153</v>
      </c>
      <c r="I18" s="31">
        <v>1</v>
      </c>
      <c r="J18" s="64">
        <v>1</v>
      </c>
      <c r="K18" s="135">
        <f t="shared" si="0"/>
        <v>4.5454545454545456E-2</v>
      </c>
      <c r="L18" s="162">
        <f ca="1">OFFSET(Cost_Ingredients!$N$73,DD_FLU_SOCMOB1_GROUP_B_3,0)*$K18</f>
        <v>0</v>
      </c>
      <c r="M18" s="162">
        <f ca="1">OFFSET(Cost_Ingredients!$O$73,DD_FLU_SOCMOB1_GROUP_B_3,0)*$K18</f>
        <v>0</v>
      </c>
      <c r="N18" s="179">
        <f ca="1">OFFSET(Cost_Ingredients!$P$73,DD_FLU_SOCMOB1_GROUP_B_3,0)*$K18</f>
        <v>0</v>
      </c>
      <c r="O18" s="179">
        <f ca="1">OFFSET(Cost_Ingredients!$Q$73,DD_FLU_SOCMOB1_GROUP_B_3,0)*$K18</f>
        <v>0</v>
      </c>
      <c r="P18" s="151"/>
    </row>
    <row r="19" spans="4:16" s="23" customFormat="1">
      <c r="D19" s="746">
        <v>1</v>
      </c>
      <c r="E19" s="746"/>
      <c r="F19" s="746"/>
      <c r="G19" s="749"/>
      <c r="H19" s="151" t="s">
        <v>153</v>
      </c>
      <c r="I19" s="31">
        <v>1</v>
      </c>
      <c r="J19" s="64">
        <v>4</v>
      </c>
      <c r="K19" s="135">
        <f t="shared" si="0"/>
        <v>0.18181818181818182</v>
      </c>
      <c r="L19" s="162">
        <f ca="1">OFFSET(Cost_Ingredients!$N$73,DD_FLU_SOCMOB1_GROUP_B_4,0)*$K19</f>
        <v>0</v>
      </c>
      <c r="M19" s="162">
        <f ca="1">OFFSET(Cost_Ingredients!$O$73,DD_FLU_SOCMOB1_GROUP_B_4,0)*$K19</f>
        <v>0</v>
      </c>
      <c r="N19" s="179">
        <f ca="1">OFFSET(Cost_Ingredients!$P$73,DD_FLU_SOCMOB1_GROUP_B_4,0)*$K19</f>
        <v>0</v>
      </c>
      <c r="O19" s="179">
        <f ca="1">OFFSET(Cost_Ingredients!$Q$73,DD_FLU_SOCMOB1_GROUP_B_4,0)*$K19</f>
        <v>0</v>
      </c>
      <c r="P19" s="151"/>
    </row>
    <row r="20" spans="4:16" s="23" customFormat="1">
      <c r="D20" s="746">
        <v>1</v>
      </c>
      <c r="E20" s="746"/>
      <c r="F20" s="746"/>
      <c r="G20" s="749"/>
      <c r="H20" s="151" t="s">
        <v>153</v>
      </c>
      <c r="I20" s="31">
        <v>1</v>
      </c>
      <c r="J20" s="64">
        <v>1</v>
      </c>
      <c r="K20" s="135">
        <f t="shared" si="0"/>
        <v>4.5454545454545456E-2</v>
      </c>
      <c r="L20" s="162">
        <f ca="1">OFFSET(Cost_Ingredients!$N$73,DD_FLU_SOCMOB1_GROUP_B_5,0)*$K20</f>
        <v>0</v>
      </c>
      <c r="M20" s="162">
        <f ca="1">OFFSET(Cost_Ingredients!$O$73,DD_FLU_SOCMOB1_GROUP_B_5,0)*$K20</f>
        <v>0</v>
      </c>
      <c r="N20" s="179">
        <f ca="1">OFFSET(Cost_Ingredients!$P$73,DD_FLU_SOCMOB1_GROUP_B_5,0)*$K20</f>
        <v>0</v>
      </c>
      <c r="O20" s="179">
        <f ca="1">OFFSET(Cost_Ingredients!$Q$73,DD_FLU_SOCMOB1_GROUP_B_5,0)*$K20</f>
        <v>0</v>
      </c>
      <c r="P20" s="151"/>
    </row>
    <row r="21" spans="4:16" s="23" customFormat="1">
      <c r="D21" s="746">
        <v>1</v>
      </c>
      <c r="E21" s="746"/>
      <c r="F21" s="746"/>
      <c r="G21" s="749"/>
      <c r="H21" s="151"/>
      <c r="I21" s="31">
        <v>1</v>
      </c>
      <c r="J21" s="64">
        <v>0</v>
      </c>
      <c r="K21" s="135">
        <f t="shared" si="0"/>
        <v>0</v>
      </c>
      <c r="L21" s="162">
        <f ca="1">OFFSET(Cost_Ingredients!$N$73,DD_FLU_SOCMOB1_GROUP_B_6,0)*$K21</f>
        <v>0</v>
      </c>
      <c r="M21" s="162">
        <f ca="1">OFFSET(Cost_Ingredients!$O$73,DD_FLU_SOCMOB1_GROUP_B_6,0)*$K21</f>
        <v>0</v>
      </c>
      <c r="N21" s="179">
        <f ca="1">OFFSET(Cost_Ingredients!$P$73,DD_FLU_SOCMOB1_GROUP_B_6,0)*$K21</f>
        <v>0</v>
      </c>
      <c r="O21" s="179">
        <f ca="1">OFFSET(Cost_Ingredients!$Q$73,DD_FLU_SOCMOB1_GROUP_B_6,0)*$K21</f>
        <v>0</v>
      </c>
      <c r="P21" s="151"/>
    </row>
    <row r="22" spans="4:16" s="23" customFormat="1">
      <c r="D22" s="746">
        <v>1</v>
      </c>
      <c r="E22" s="746"/>
      <c r="F22" s="746"/>
      <c r="G22" s="749"/>
      <c r="H22" s="151"/>
      <c r="I22" s="31">
        <v>1</v>
      </c>
      <c r="J22" s="64">
        <v>0</v>
      </c>
      <c r="K22" s="135">
        <f t="shared" si="0"/>
        <v>0</v>
      </c>
      <c r="L22" s="162">
        <f ca="1">OFFSET(Cost_Ingredients!$N$73,DD_FLU_SOCMOB1_GROUP_B_7,0)*$K22</f>
        <v>0</v>
      </c>
      <c r="M22" s="162">
        <f ca="1">OFFSET(Cost_Ingredients!$O$73,DD_FLU_SOCMOB1_GROUP_B_7,0)*$K22</f>
        <v>0</v>
      </c>
      <c r="N22" s="179">
        <f ca="1">OFFSET(Cost_Ingredients!$P$73,DD_FLU_SOCMOB1_GROUP_B_7,0)*$K22</f>
        <v>0</v>
      </c>
      <c r="O22" s="179">
        <f ca="1">OFFSET(Cost_Ingredients!$Q$73,DD_FLU_SOCMOB1_GROUP_B_7,0)*$K22</f>
        <v>0</v>
      </c>
      <c r="P22" s="151"/>
    </row>
    <row r="23" spans="4:16" s="23" customFormat="1">
      <c r="D23" s="746">
        <v>1</v>
      </c>
      <c r="E23" s="746"/>
      <c r="F23" s="746"/>
      <c r="G23" s="749"/>
      <c r="H23" s="151"/>
      <c r="I23" s="31">
        <v>1</v>
      </c>
      <c r="J23" s="64">
        <v>0</v>
      </c>
      <c r="K23" s="135">
        <f t="shared" si="0"/>
        <v>0</v>
      </c>
      <c r="L23" s="162">
        <f ca="1">OFFSET(Cost_Ingredients!$N$73,DD_FLU_SOCMOB1_GROUP_B_8,0)*$K23</f>
        <v>0</v>
      </c>
      <c r="M23" s="162">
        <f ca="1">OFFSET(Cost_Ingredients!$O$73,DD_FLU_SOCMOB1_GROUP_B_8,0)*$K23</f>
        <v>0</v>
      </c>
      <c r="N23" s="179">
        <f ca="1">OFFSET(Cost_Ingredients!$P$73,DD_FLU_SOCMOB1_GROUP_B_8,0)*$K23</f>
        <v>0</v>
      </c>
      <c r="O23" s="179">
        <f ca="1">OFFSET(Cost_Ingredients!$Q$73,DD_FLU_SOCMOB1_GROUP_B_8,0)*$K23</f>
        <v>0</v>
      </c>
      <c r="P23" s="151"/>
    </row>
    <row r="24" spans="4:16" s="23" customFormat="1">
      <c r="D24" s="746">
        <v>1</v>
      </c>
      <c r="E24" s="746"/>
      <c r="F24" s="746"/>
      <c r="G24" s="749"/>
      <c r="H24" s="151"/>
      <c r="I24" s="31">
        <v>1</v>
      </c>
      <c r="J24" s="64">
        <v>0</v>
      </c>
      <c r="K24" s="135">
        <f t="shared" si="0"/>
        <v>0</v>
      </c>
      <c r="L24" s="162">
        <f ca="1">OFFSET(Cost_Ingredients!$N$73,DD_FLU_SOCMOB1_GROUP_B_9,0)*$K24</f>
        <v>0</v>
      </c>
      <c r="M24" s="162">
        <f ca="1">OFFSET(Cost_Ingredients!$O$73,DD_FLU_SOCMOB1_GROUP_B_9,0)*$K24</f>
        <v>0</v>
      </c>
      <c r="N24" s="179">
        <f ca="1">OFFSET(Cost_Ingredients!$P$73,DD_FLU_SOCMOB1_GROUP_B_9,0)*$K24</f>
        <v>0</v>
      </c>
      <c r="O24" s="179">
        <f ca="1">OFFSET(Cost_Ingredients!$Q$73,DD_FLU_SOCMOB1_GROUP_B_9,0)*$K24</f>
        <v>0</v>
      </c>
      <c r="P24" s="151"/>
    </row>
    <row r="25" spans="4:16" s="23" customFormat="1">
      <c r="D25" s="746">
        <v>1</v>
      </c>
      <c r="E25" s="746"/>
      <c r="F25" s="746"/>
      <c r="G25" s="749"/>
      <c r="H25" s="151"/>
      <c r="I25" s="31">
        <v>1</v>
      </c>
      <c r="J25" s="64">
        <v>0</v>
      </c>
      <c r="K25" s="135">
        <f t="shared" si="0"/>
        <v>0</v>
      </c>
      <c r="L25" s="162">
        <f ca="1">OFFSET(Cost_Ingredients!$N$73,DD_FLU_SOCMOB1_GROUP_B_10,0)*$K25</f>
        <v>0</v>
      </c>
      <c r="M25" s="162">
        <f ca="1">OFFSET(Cost_Ingredients!$O$73,DD_FLU_SOCMOB1_GROUP_B_10,0)*$K25</f>
        <v>0</v>
      </c>
      <c r="N25" s="179">
        <f ca="1">OFFSET(Cost_Ingredients!$P$73,DD_FLU_SOCMOB1_GROUP_B_10,0)*$K25</f>
        <v>0</v>
      </c>
      <c r="O25" s="179">
        <f ca="1">OFFSET(Cost_Ingredients!$Q$73,DD_FLU_SOCMOB1_GROUP_B_10,0)*$K25</f>
        <v>0</v>
      </c>
      <c r="P25" s="151"/>
    </row>
    <row r="26" spans="4:16" s="23" customFormat="1">
      <c r="D26" s="746">
        <v>1</v>
      </c>
      <c r="E26" s="746"/>
      <c r="F26" s="746"/>
      <c r="G26" s="749"/>
      <c r="H26" s="151"/>
      <c r="I26" s="31">
        <v>1</v>
      </c>
      <c r="J26" s="64">
        <v>0</v>
      </c>
      <c r="K26" s="135">
        <f t="shared" si="0"/>
        <v>0</v>
      </c>
      <c r="L26" s="162">
        <f ca="1">OFFSET(Cost_Ingredients!$N$73,DD_FLU_SOCMOB1_GROUP_B_11,0)*$K26</f>
        <v>0</v>
      </c>
      <c r="M26" s="162">
        <f ca="1">OFFSET(Cost_Ingredients!$O$73,DD_FLU_SOCMOB1_GROUP_B_11,0)*$K26</f>
        <v>0</v>
      </c>
      <c r="N26" s="179">
        <f ca="1">OFFSET(Cost_Ingredients!$P$73,DD_FLU_SOCMOB1_GROUP_B_11,0)*$K26</f>
        <v>0</v>
      </c>
      <c r="O26" s="179">
        <f ca="1">OFFSET(Cost_Ingredients!$Q$73,DD_FLU_SOCMOB1_GROUP_B_11,0)*$K26</f>
        <v>0</v>
      </c>
      <c r="P26" s="151"/>
    </row>
    <row r="27" spans="4:16" s="23" customFormat="1">
      <c r="D27" s="746">
        <v>1</v>
      </c>
      <c r="E27" s="746"/>
      <c r="F27" s="746"/>
      <c r="G27" s="749"/>
      <c r="H27" s="151"/>
      <c r="I27" s="31">
        <v>1</v>
      </c>
      <c r="J27" s="64">
        <v>0</v>
      </c>
      <c r="K27" s="135">
        <f t="shared" si="0"/>
        <v>0</v>
      </c>
      <c r="L27" s="162">
        <f ca="1">OFFSET(Cost_Ingredients!$N$73,DD_FLU_SOCMOB1_GROUP_B_12,0)*$K27</f>
        <v>0</v>
      </c>
      <c r="M27" s="162">
        <f ca="1">OFFSET(Cost_Ingredients!$O$73,DD_FLU_SOCMOB1_GROUP_B_12,0)*$K27</f>
        <v>0</v>
      </c>
      <c r="N27" s="179">
        <f ca="1">OFFSET(Cost_Ingredients!$P$73,DD_FLU_SOCMOB1_GROUP_B_12,0)*$K27</f>
        <v>0</v>
      </c>
      <c r="O27" s="179">
        <f ca="1">OFFSET(Cost_Ingredients!$Q$73,DD_FLU_SOCMOB1_GROUP_B_12,0)*$K27</f>
        <v>0</v>
      </c>
      <c r="P27" s="151"/>
    </row>
    <row r="28" spans="4:16" s="23" customFormat="1">
      <c r="D28" s="746">
        <v>1</v>
      </c>
      <c r="E28" s="746"/>
      <c r="F28" s="746"/>
      <c r="G28" s="749"/>
      <c r="H28" s="151"/>
      <c r="I28" s="31">
        <v>1</v>
      </c>
      <c r="J28" s="64">
        <v>0</v>
      </c>
      <c r="K28" s="135">
        <f t="shared" si="0"/>
        <v>0</v>
      </c>
      <c r="L28" s="162">
        <f ca="1">OFFSET(Cost_Ingredients!$N$73,DD_FLU_SOCMOB1_GROUP_B_13,0)*$K28</f>
        <v>0</v>
      </c>
      <c r="M28" s="162">
        <f ca="1">OFFSET(Cost_Ingredients!$O$73,DD_FLU_SOCMOB1_GROUP_B_13,0)*$K28</f>
        <v>0</v>
      </c>
      <c r="N28" s="179">
        <f ca="1">OFFSET(Cost_Ingredients!$P$73,DD_FLU_SOCMOB1_GROUP_B_13,0)*$K28</f>
        <v>0</v>
      </c>
      <c r="O28" s="179">
        <f ca="1">OFFSET(Cost_Ingredients!$Q$73,DD_FLU_SOCMOB1_GROUP_B_13,0)*$K28</f>
        <v>0</v>
      </c>
      <c r="P28" s="151"/>
    </row>
    <row r="29" spans="4:16" s="23" customFormat="1">
      <c r="D29" s="746">
        <v>1</v>
      </c>
      <c r="E29" s="746"/>
      <c r="F29" s="746"/>
      <c r="G29" s="749"/>
      <c r="H29" s="151"/>
      <c r="I29" s="31">
        <v>1</v>
      </c>
      <c r="J29" s="64">
        <v>0</v>
      </c>
      <c r="K29" s="135">
        <f t="shared" si="0"/>
        <v>0</v>
      </c>
      <c r="L29" s="162">
        <f ca="1">OFFSET(Cost_Ingredients!$N$73,DD_FLU_SOCMOB1_GROUP_B_14,0)*$K29</f>
        <v>0</v>
      </c>
      <c r="M29" s="162">
        <f ca="1">OFFSET(Cost_Ingredients!$O$73,DD_FLU_SOCMOB1_GROUP_B_14,0)*$K29</f>
        <v>0</v>
      </c>
      <c r="N29" s="179">
        <f ca="1">OFFSET(Cost_Ingredients!$P$73,DD_FLU_SOCMOB1_GROUP_B_14,0)*$K29</f>
        <v>0</v>
      </c>
      <c r="O29" s="179">
        <f ca="1">OFFSET(Cost_Ingredients!$Q$73,DD_FLU_SOCMOB1_GROUP_B_14,0)*$K29</f>
        <v>0</v>
      </c>
      <c r="P29" s="151"/>
    </row>
    <row r="30" spans="4:16" s="23" customFormat="1">
      <c r="D30" s="746">
        <v>1</v>
      </c>
      <c r="E30" s="746"/>
      <c r="F30" s="746"/>
      <c r="G30" s="749"/>
      <c r="H30" s="172"/>
      <c r="I30" s="31">
        <v>1</v>
      </c>
      <c r="J30" s="173">
        <v>0</v>
      </c>
      <c r="K30" s="135">
        <f t="shared" si="0"/>
        <v>0</v>
      </c>
      <c r="L30" s="162">
        <f ca="1">OFFSET(Cost_Ingredients!$N$73,DD_FLU_SOCMOB1_GROUP_B_15,0)*$K30</f>
        <v>0</v>
      </c>
      <c r="M30" s="162">
        <f ca="1">OFFSET(Cost_Ingredients!$O$73,DD_FLU_SOCMOB1_GROUP_B_15,0)*$K30</f>
        <v>0</v>
      </c>
      <c r="N30" s="179">
        <f ca="1">OFFSET(Cost_Ingredients!$P$73,DD_FLU_SOCMOB1_GROUP_B_15,0)*$K30</f>
        <v>0</v>
      </c>
      <c r="O30" s="179">
        <f ca="1">OFFSET(Cost_Ingredients!$Q$73,DD_FLU_SOCMOB1_GROUP_B_15,0)*$K30</f>
        <v>0</v>
      </c>
      <c r="P30" s="172"/>
    </row>
    <row r="31" spans="4:16" s="23" customFormat="1">
      <c r="D31" s="12"/>
      <c r="E31" s="12"/>
      <c r="F31" s="12"/>
      <c r="G31" s="12"/>
      <c r="H31" s="156"/>
      <c r="J31" s="69"/>
      <c r="K31" s="18"/>
      <c r="L31" s="181">
        <f ca="1">SUM(L16:L30)</f>
        <v>0</v>
      </c>
      <c r="M31" s="181">
        <f ca="1">SUM(M16:M30)</f>
        <v>7161.1363636363631</v>
      </c>
      <c r="N31" s="187">
        <f ca="1">SUM(N16:N30)</f>
        <v>0</v>
      </c>
      <c r="O31" s="187">
        <f ca="1">SUM(O16:O30)</f>
        <v>47.740909090909092</v>
      </c>
      <c r="P31" s="156"/>
    </row>
    <row r="32" spans="4:16">
      <c r="K32" s="23"/>
    </row>
    <row r="33" spans="3:16">
      <c r="C33" s="153" t="str">
        <f>FLU_LU!$D$279</f>
        <v>Allowances</v>
      </c>
      <c r="H33" s="23"/>
      <c r="K33" s="23"/>
    </row>
    <row r="34" spans="3:16" ht="28.8">
      <c r="D34" s="733" t="s">
        <v>100</v>
      </c>
      <c r="E34" s="733"/>
      <c r="F34" s="733"/>
      <c r="G34" s="733"/>
      <c r="H34" s="733" t="s">
        <v>103</v>
      </c>
      <c r="I34" s="733"/>
      <c r="J34" s="152" t="s">
        <v>67</v>
      </c>
      <c r="K34" s="23"/>
      <c r="L34" s="28" t="str">
        <f>"Financial Price ("&amp;FLU_LU!$D$79&amp;")"</f>
        <v>Financial Price (GOZ)</v>
      </c>
      <c r="M34" s="28" t="str">
        <f>"Economic Price ("&amp;FLU_LU!$D$79&amp;")"</f>
        <v>Economic Price (GOZ)</v>
      </c>
      <c r="N34" s="28" t="str">
        <f>"Financial Price ("&amp;FLU_LU!$D$78&amp;")"</f>
        <v>Financial Price (USD)</v>
      </c>
      <c r="O34" s="28" t="str">
        <f>"Economic Price ("&amp;FLU_LU!$D$78&amp;")"</f>
        <v>Economic Price (USD)</v>
      </c>
      <c r="P34" s="152" t="s">
        <v>68</v>
      </c>
    </row>
    <row r="35" spans="3:16" s="23" customFormat="1">
      <c r="D35" s="746">
        <v>2</v>
      </c>
      <c r="E35" s="746"/>
      <c r="F35" s="746"/>
      <c r="G35" s="749"/>
      <c r="H35" s="667" t="s">
        <v>153</v>
      </c>
      <c r="I35" s="667"/>
      <c r="J35" s="64">
        <v>3</v>
      </c>
      <c r="L35" s="169">
        <f ca="1">OFFSET(Cost_Ingredients!$N$103,$D35,0)*$J35</f>
        <v>16500</v>
      </c>
      <c r="M35" s="169">
        <f ca="1">OFFSET(Cost_Ingredients!$O$103,$D35,0)*$J35</f>
        <v>16500</v>
      </c>
      <c r="N35" s="176">
        <f ca="1">OFFSET(Cost_Ingredients!$P$103,$D35,0)*$J35</f>
        <v>110</v>
      </c>
      <c r="O35" s="176">
        <f ca="1">OFFSET(Cost_Ingredients!$Q$103,$D35,0)*$J35</f>
        <v>110</v>
      </c>
      <c r="P35" s="151"/>
    </row>
    <row r="36" spans="3:16" s="23" customFormat="1">
      <c r="D36" s="746">
        <v>1</v>
      </c>
      <c r="E36" s="746"/>
      <c r="F36" s="746"/>
      <c r="G36" s="749"/>
      <c r="H36" s="667" t="s">
        <v>153</v>
      </c>
      <c r="I36" s="667"/>
      <c r="J36" s="64">
        <v>4</v>
      </c>
      <c r="L36" s="169">
        <f ca="1">OFFSET(Cost_Ingredients!$N$103,$D36,0)*$J36</f>
        <v>0</v>
      </c>
      <c r="M36" s="169">
        <f ca="1">OFFSET(Cost_Ingredients!$O$103,$D36,0)*$J36</f>
        <v>0</v>
      </c>
      <c r="N36" s="176">
        <f ca="1">OFFSET(Cost_Ingredients!$P$103,$D36,0)*$J36</f>
        <v>0</v>
      </c>
      <c r="O36" s="176">
        <f ca="1">OFFSET(Cost_Ingredients!$Q$103,$D36,0)*$J36</f>
        <v>0</v>
      </c>
      <c r="P36" s="151"/>
    </row>
    <row r="37" spans="3:16" s="23" customFormat="1">
      <c r="D37" s="746">
        <v>1</v>
      </c>
      <c r="E37" s="746"/>
      <c r="F37" s="746"/>
      <c r="G37" s="749"/>
      <c r="H37" s="667" t="s">
        <v>153</v>
      </c>
      <c r="I37" s="667"/>
      <c r="J37" s="64">
        <v>4</v>
      </c>
      <c r="L37" s="169">
        <f ca="1">OFFSET(Cost_Ingredients!$N$103,$D37,0)*$J37</f>
        <v>0</v>
      </c>
      <c r="M37" s="169">
        <f ca="1">OFFSET(Cost_Ingredients!$O$103,$D37,0)*$J37</f>
        <v>0</v>
      </c>
      <c r="N37" s="176">
        <f ca="1">OFFSET(Cost_Ingredients!$P$103,$D37,0)*$J37</f>
        <v>0</v>
      </c>
      <c r="O37" s="176">
        <f ca="1">OFFSET(Cost_Ingredients!$Q$103,$D37,0)*$J37</f>
        <v>0</v>
      </c>
      <c r="P37" s="151"/>
    </row>
    <row r="38" spans="3:16" s="23" customFormat="1">
      <c r="D38" s="746">
        <v>1</v>
      </c>
      <c r="E38" s="746"/>
      <c r="F38" s="746"/>
      <c r="G38" s="749"/>
      <c r="H38" s="667" t="s">
        <v>153</v>
      </c>
      <c r="I38" s="667"/>
      <c r="J38" s="64">
        <v>3</v>
      </c>
      <c r="L38" s="169">
        <f ca="1">OFFSET(Cost_Ingredients!$N$103,$D38,0)*$J38</f>
        <v>0</v>
      </c>
      <c r="M38" s="169">
        <f ca="1">OFFSET(Cost_Ingredients!$O$103,$D38,0)*$J38</f>
        <v>0</v>
      </c>
      <c r="N38" s="176">
        <f ca="1">OFFSET(Cost_Ingredients!$P$103,$D38,0)*$J38</f>
        <v>0</v>
      </c>
      <c r="O38" s="176">
        <f ca="1">OFFSET(Cost_Ingredients!$Q$103,$D38,0)*$J38</f>
        <v>0</v>
      </c>
      <c r="P38" s="151"/>
    </row>
    <row r="39" spans="3:16" s="23" customFormat="1">
      <c r="D39" s="746">
        <v>1</v>
      </c>
      <c r="E39" s="746"/>
      <c r="F39" s="746"/>
      <c r="G39" s="749"/>
      <c r="H39" s="745" t="s">
        <v>153</v>
      </c>
      <c r="I39" s="745"/>
      <c r="J39" s="173">
        <v>3</v>
      </c>
      <c r="L39" s="169">
        <f ca="1">OFFSET(Cost_Ingredients!$N$103,$D39,0)*$J39</f>
        <v>0</v>
      </c>
      <c r="M39" s="169">
        <f ca="1">OFFSET(Cost_Ingredients!$O$103,$D39,0)*$J39</f>
        <v>0</v>
      </c>
      <c r="N39" s="176">
        <f ca="1">OFFSET(Cost_Ingredients!$P$103,$D39,0)*$J39</f>
        <v>0</v>
      </c>
      <c r="O39" s="176">
        <f ca="1">OFFSET(Cost_Ingredients!$Q$103,$D39,0)*$J39</f>
        <v>0</v>
      </c>
      <c r="P39" s="172"/>
    </row>
    <row r="40" spans="3:16" s="23" customFormat="1">
      <c r="D40" s="762" t="s">
        <v>161</v>
      </c>
      <c r="E40" s="762"/>
      <c r="F40" s="762"/>
      <c r="G40" s="762"/>
      <c r="H40" s="156"/>
      <c r="I40" s="156"/>
      <c r="J40" s="69"/>
      <c r="L40" s="59">
        <f ca="1">SUM(L35:L39)</f>
        <v>16500</v>
      </c>
      <c r="M40" s="59">
        <f ca="1">SUM(M35:M39)</f>
        <v>16500</v>
      </c>
      <c r="N40" s="45">
        <f ca="1">SUM(N35:N39)</f>
        <v>110</v>
      </c>
      <c r="O40" s="45">
        <f ca="1">SUM(O35:O39)</f>
        <v>110</v>
      </c>
      <c r="P40" s="156"/>
    </row>
    <row r="41" spans="3:16">
      <c r="K41" s="23"/>
    </row>
    <row r="42" spans="3:16">
      <c r="C42" s="153" t="str">
        <f>FLU_LU!$D$280</f>
        <v>Supplies &amp; Materials</v>
      </c>
      <c r="K42" s="23"/>
    </row>
    <row r="43" spans="3:16" ht="28.8">
      <c r="D43" s="733" t="s">
        <v>100</v>
      </c>
      <c r="E43" s="733"/>
      <c r="F43" s="733"/>
      <c r="G43" s="733"/>
      <c r="H43" s="152" t="s">
        <v>104</v>
      </c>
      <c r="I43" s="152" t="s">
        <v>63</v>
      </c>
      <c r="J43" s="152" t="s">
        <v>67</v>
      </c>
      <c r="K43" s="23"/>
      <c r="L43" s="28" t="str">
        <f>"Financial Price ("&amp;FLU_LU!$D$79&amp;")"</f>
        <v>Financial Price (GOZ)</v>
      </c>
      <c r="M43" s="28" t="str">
        <f>"Economic Price ("&amp;FLU_LU!$D$79&amp;")"</f>
        <v>Economic Price (GOZ)</v>
      </c>
      <c r="N43" s="28" t="str">
        <f>"Financial Price ("&amp;FLU_LU!$D$78&amp;")"</f>
        <v>Financial Price (USD)</v>
      </c>
      <c r="O43" s="28" t="str">
        <f>"Economic Price ("&amp;FLU_LU!$D$78&amp;")"</f>
        <v>Economic Price (USD)</v>
      </c>
      <c r="P43" s="152" t="s">
        <v>68</v>
      </c>
    </row>
    <row r="44" spans="3:16" s="23" customFormat="1">
      <c r="D44" s="746">
        <v>3</v>
      </c>
      <c r="E44" s="746"/>
      <c r="F44" s="746"/>
      <c r="G44" s="749"/>
      <c r="H44" s="151" t="s">
        <v>153</v>
      </c>
      <c r="I44" s="169" t="str">
        <f ca="1">OFFSET(Cost_Ingredients!$M$117,$D44,0)</f>
        <v>pz</v>
      </c>
      <c r="J44" s="64">
        <v>40</v>
      </c>
      <c r="L44" s="169">
        <f ca="1">OFFSET(Cost_Ingredients!N$117,$D44,0)*$J44</f>
        <v>40</v>
      </c>
      <c r="M44" s="169">
        <f ca="1">OFFSET(Cost_Ingredients!O$117,$D44,0)*$J44</f>
        <v>240</v>
      </c>
      <c r="N44" s="176">
        <f ca="1">OFFSET(Cost_Ingredients!P$117,$D44,0)*$J44</f>
        <v>0.26666666666666666</v>
      </c>
      <c r="O44" s="176">
        <f ca="1">OFFSET(Cost_Ingredients!Q$117,$D44,0)*$J44</f>
        <v>1.6</v>
      </c>
      <c r="P44" s="151"/>
    </row>
    <row r="45" spans="3:16" s="23" customFormat="1">
      <c r="D45" s="746">
        <v>1</v>
      </c>
      <c r="E45" s="746"/>
      <c r="F45" s="746"/>
      <c r="G45" s="749"/>
      <c r="H45" s="151" t="s">
        <v>153</v>
      </c>
      <c r="I45" s="169">
        <f ca="1">OFFSET(Cost_Ingredients!$M$117,$D45,0)</f>
        <v>0</v>
      </c>
      <c r="J45" s="64"/>
      <c r="L45" s="169">
        <f ca="1">OFFSET(Cost_Ingredients!N$117,$D45,0)*$J45</f>
        <v>0</v>
      </c>
      <c r="M45" s="169">
        <f ca="1">OFFSET(Cost_Ingredients!O$117,$D45,0)*$J45</f>
        <v>0</v>
      </c>
      <c r="N45" s="176">
        <f ca="1">OFFSET(Cost_Ingredients!P$117,$D45,0)*$J45</f>
        <v>0</v>
      </c>
      <c r="O45" s="176">
        <f ca="1">OFFSET(Cost_Ingredients!Q$117,$D45,0)*$J45</f>
        <v>0</v>
      </c>
      <c r="P45" s="151"/>
    </row>
    <row r="46" spans="3:16" s="23" customFormat="1">
      <c r="D46" s="746">
        <v>1</v>
      </c>
      <c r="E46" s="746"/>
      <c r="F46" s="746"/>
      <c r="G46" s="749"/>
      <c r="H46" s="151" t="s">
        <v>153</v>
      </c>
      <c r="I46" s="169">
        <f ca="1">OFFSET(Cost_Ingredients!$M$117,$D46,0)</f>
        <v>0</v>
      </c>
      <c r="J46" s="64">
        <v>0</v>
      </c>
      <c r="L46" s="169">
        <f ca="1">OFFSET(Cost_Ingredients!N$117,$D46,0)*$J46</f>
        <v>0</v>
      </c>
      <c r="M46" s="169">
        <f ca="1">OFFSET(Cost_Ingredients!O$117,$D46,0)*$J46</f>
        <v>0</v>
      </c>
      <c r="N46" s="176">
        <f ca="1">OFFSET(Cost_Ingredients!P$117,$D46,0)*$J46</f>
        <v>0</v>
      </c>
      <c r="O46" s="176">
        <f ca="1">OFFSET(Cost_Ingredients!Q$117,$D46,0)*$J46</f>
        <v>0</v>
      </c>
      <c r="P46" s="151"/>
    </row>
    <row r="47" spans="3:16" s="23" customFormat="1">
      <c r="D47" s="746">
        <v>1</v>
      </c>
      <c r="E47" s="746"/>
      <c r="F47" s="746"/>
      <c r="G47" s="749"/>
      <c r="H47" s="151" t="s">
        <v>153</v>
      </c>
      <c r="I47" s="169">
        <f ca="1">OFFSET(Cost_Ingredients!$M$117,$D47,0)</f>
        <v>0</v>
      </c>
      <c r="J47" s="64">
        <v>0</v>
      </c>
      <c r="L47" s="169">
        <f ca="1">OFFSET(Cost_Ingredients!N$117,$D47,0)*$J47</f>
        <v>0</v>
      </c>
      <c r="M47" s="169">
        <f ca="1">OFFSET(Cost_Ingredients!O$117,$D47,0)*$J47</f>
        <v>0</v>
      </c>
      <c r="N47" s="176">
        <f ca="1">OFFSET(Cost_Ingredients!P$117,$D47,0)*$J47</f>
        <v>0</v>
      </c>
      <c r="O47" s="176">
        <f ca="1">OFFSET(Cost_Ingredients!Q$117,$D47,0)*$J47</f>
        <v>0</v>
      </c>
      <c r="P47" s="151"/>
    </row>
    <row r="48" spans="3:16" s="23" customFormat="1">
      <c r="D48" s="746">
        <v>1</v>
      </c>
      <c r="E48" s="746"/>
      <c r="F48" s="746"/>
      <c r="G48" s="749"/>
      <c r="H48" s="151" t="s">
        <v>153</v>
      </c>
      <c r="I48" s="169">
        <f ca="1">OFFSET(Cost_Ingredients!$M$117,$D48,0)</f>
        <v>0</v>
      </c>
      <c r="J48" s="64">
        <v>0</v>
      </c>
      <c r="L48" s="169">
        <f ca="1">OFFSET(Cost_Ingredients!N$117,$D48,0)*$J48</f>
        <v>0</v>
      </c>
      <c r="M48" s="169">
        <f ca="1">OFFSET(Cost_Ingredients!O$117,$D48,0)*$J48</f>
        <v>0</v>
      </c>
      <c r="N48" s="176">
        <f ca="1">OFFSET(Cost_Ingredients!P$117,$D48,0)*$J48</f>
        <v>0</v>
      </c>
      <c r="O48" s="176">
        <f ca="1">OFFSET(Cost_Ingredients!Q$117,$D48,0)*$J48</f>
        <v>0</v>
      </c>
      <c r="P48" s="151"/>
    </row>
    <row r="49" spans="3:16" s="23" customFormat="1">
      <c r="D49" s="746">
        <v>1</v>
      </c>
      <c r="E49" s="746"/>
      <c r="F49" s="746"/>
      <c r="G49" s="749"/>
      <c r="H49" s="151"/>
      <c r="I49" s="169">
        <f ca="1">OFFSET(Cost_Ingredients!$M$117,$D49,0)</f>
        <v>0</v>
      </c>
      <c r="J49" s="64">
        <v>0</v>
      </c>
      <c r="L49" s="169">
        <f ca="1">OFFSET(Cost_Ingredients!N$117,$D49,0)*$J49</f>
        <v>0</v>
      </c>
      <c r="M49" s="169">
        <f ca="1">OFFSET(Cost_Ingredients!O$117,$D49,0)*$J49</f>
        <v>0</v>
      </c>
      <c r="N49" s="176">
        <f ca="1">OFFSET(Cost_Ingredients!P$117,$D49,0)*$J49</f>
        <v>0</v>
      </c>
      <c r="O49" s="176">
        <f ca="1">OFFSET(Cost_Ingredients!Q$117,$D49,0)*$J49</f>
        <v>0</v>
      </c>
      <c r="P49" s="151"/>
    </row>
    <row r="50" spans="3:16" s="23" customFormat="1">
      <c r="D50" s="746">
        <v>1</v>
      </c>
      <c r="E50" s="746"/>
      <c r="F50" s="746"/>
      <c r="G50" s="749"/>
      <c r="H50" s="151"/>
      <c r="I50" s="169">
        <f ca="1">OFFSET(Cost_Ingredients!$M$117,$D50,0)</f>
        <v>0</v>
      </c>
      <c r="J50" s="64">
        <v>0</v>
      </c>
      <c r="L50" s="169">
        <f ca="1">OFFSET(Cost_Ingredients!N$117,$D50,0)*$J50</f>
        <v>0</v>
      </c>
      <c r="M50" s="169">
        <f ca="1">OFFSET(Cost_Ingredients!O$117,$D50,0)*$J50</f>
        <v>0</v>
      </c>
      <c r="N50" s="176">
        <f ca="1">OFFSET(Cost_Ingredients!P$117,$D50,0)*$J50</f>
        <v>0</v>
      </c>
      <c r="O50" s="176">
        <f ca="1">OFFSET(Cost_Ingredients!Q$117,$D50,0)*$J50</f>
        <v>0</v>
      </c>
      <c r="P50" s="151"/>
    </row>
    <row r="51" spans="3:16" s="23" customFormat="1">
      <c r="D51" s="746">
        <v>1</v>
      </c>
      <c r="E51" s="746"/>
      <c r="F51" s="746"/>
      <c r="G51" s="749"/>
      <c r="H51" s="151"/>
      <c r="I51" s="169">
        <f ca="1">OFFSET(Cost_Ingredients!$M$117,$D51,0)</f>
        <v>0</v>
      </c>
      <c r="J51" s="64">
        <v>0</v>
      </c>
      <c r="L51" s="169">
        <f ca="1">OFFSET(Cost_Ingredients!N$117,$D51,0)*$J51</f>
        <v>0</v>
      </c>
      <c r="M51" s="169">
        <f ca="1">OFFSET(Cost_Ingredients!O$117,$D51,0)*$J51</f>
        <v>0</v>
      </c>
      <c r="N51" s="176">
        <f ca="1">OFFSET(Cost_Ingredients!P$117,$D51,0)*$J51</f>
        <v>0</v>
      </c>
      <c r="O51" s="176">
        <f ca="1">OFFSET(Cost_Ingredients!Q$117,$D51,0)*$J51</f>
        <v>0</v>
      </c>
      <c r="P51" s="151"/>
    </row>
    <row r="52" spans="3:16" s="23" customFormat="1">
      <c r="D52" s="746">
        <v>1</v>
      </c>
      <c r="E52" s="746"/>
      <c r="F52" s="746"/>
      <c r="G52" s="749"/>
      <c r="H52" s="151"/>
      <c r="I52" s="169">
        <f ca="1">OFFSET(Cost_Ingredients!$M$117,$D52,0)</f>
        <v>0</v>
      </c>
      <c r="J52" s="64">
        <v>0</v>
      </c>
      <c r="L52" s="169">
        <f ca="1">OFFSET(Cost_Ingredients!N$117,$D52,0)*$J52</f>
        <v>0</v>
      </c>
      <c r="M52" s="169">
        <f ca="1">OFFSET(Cost_Ingredients!O$117,$D52,0)*$J52</f>
        <v>0</v>
      </c>
      <c r="N52" s="176">
        <f ca="1">OFFSET(Cost_Ingredients!P$117,$D52,0)*$J52</f>
        <v>0</v>
      </c>
      <c r="O52" s="176">
        <f ca="1">OFFSET(Cost_Ingredients!Q$117,$D52,0)*$J52</f>
        <v>0</v>
      </c>
      <c r="P52" s="151"/>
    </row>
    <row r="53" spans="3:16" s="23" customFormat="1">
      <c r="D53" s="746">
        <v>1</v>
      </c>
      <c r="E53" s="746"/>
      <c r="F53" s="746"/>
      <c r="G53" s="749"/>
      <c r="H53" s="172"/>
      <c r="I53" s="169">
        <f ca="1">OFFSET(Cost_Ingredients!$M$117,$D53,0)</f>
        <v>0</v>
      </c>
      <c r="J53" s="173">
        <v>0</v>
      </c>
      <c r="L53" s="169">
        <f ca="1">OFFSET(Cost_Ingredients!N$117,$D53,0)*$J53</f>
        <v>0</v>
      </c>
      <c r="M53" s="169">
        <f ca="1">OFFSET(Cost_Ingredients!O$117,$D53,0)*$J53</f>
        <v>0</v>
      </c>
      <c r="N53" s="176">
        <f ca="1">OFFSET(Cost_Ingredients!P$117,$D53,0)*$J53</f>
        <v>0</v>
      </c>
      <c r="O53" s="176">
        <f ca="1">OFFSET(Cost_Ingredients!Q$117,$D53,0)*$J53</f>
        <v>0</v>
      </c>
      <c r="P53" s="172"/>
    </row>
    <row r="54" spans="3:16" s="23" customFormat="1">
      <c r="D54" s="12"/>
      <c r="E54" s="12"/>
      <c r="F54" s="12"/>
      <c r="G54" s="12"/>
      <c r="H54" s="156"/>
      <c r="I54" s="69"/>
      <c r="J54" s="69"/>
      <c r="L54" s="59">
        <f ca="1">SUM(L44:L53)</f>
        <v>40</v>
      </c>
      <c r="M54" s="59">
        <f ca="1">SUM(M44:M53)</f>
        <v>240</v>
      </c>
      <c r="N54" s="45">
        <f ca="1">SUM(N44:N53)</f>
        <v>0.26666666666666666</v>
      </c>
      <c r="O54" s="45">
        <f ca="1">SUM(O44:O53)</f>
        <v>1.6</v>
      </c>
      <c r="P54" s="156"/>
    </row>
    <row r="55" spans="3:16">
      <c r="G55" s="23"/>
      <c r="K55" s="23"/>
    </row>
    <row r="56" spans="3:16">
      <c r="C56" s="153" t="str">
        <f>FLU_LU!$D$281</f>
        <v>Other Direct Costs (Recurrent)</v>
      </c>
      <c r="K56" s="23"/>
    </row>
    <row r="57" spans="3:16" ht="28.8">
      <c r="D57" s="733" t="s">
        <v>100</v>
      </c>
      <c r="E57" s="733"/>
      <c r="F57" s="733"/>
      <c r="G57" s="733"/>
      <c r="H57" s="152" t="s">
        <v>102</v>
      </c>
      <c r="I57" s="152" t="s">
        <v>63</v>
      </c>
      <c r="J57" s="152" t="s">
        <v>67</v>
      </c>
      <c r="K57" s="23"/>
      <c r="L57" s="28" t="str">
        <f>"Financial Price ("&amp;FLU_LU!$D$79&amp;")"</f>
        <v>Financial Price (GOZ)</v>
      </c>
      <c r="M57" s="28" t="str">
        <f>"Economic Price ("&amp;FLU_LU!$D$79&amp;")"</f>
        <v>Economic Price (GOZ)</v>
      </c>
      <c r="N57" s="28" t="str">
        <f>"Financial Price ("&amp;FLU_LU!$D$78&amp;")"</f>
        <v>Financial Price (USD)</v>
      </c>
      <c r="O57" s="28" t="str">
        <f>"Economic Price ("&amp;FLU_LU!$D$78&amp;")"</f>
        <v>Economic Price (USD)</v>
      </c>
      <c r="P57" s="152" t="s">
        <v>68</v>
      </c>
    </row>
    <row r="58" spans="3:16" s="23" customFormat="1">
      <c r="D58" s="746">
        <v>1</v>
      </c>
      <c r="E58" s="746"/>
      <c r="F58" s="746"/>
      <c r="G58" s="749"/>
      <c r="H58" s="151" t="s">
        <v>153</v>
      </c>
      <c r="I58" s="169">
        <f ca="1">OFFSET(Cost_Ingredients!$M$146,$D58,0)</f>
        <v>0</v>
      </c>
      <c r="J58" s="64">
        <v>10</v>
      </c>
      <c r="L58" s="169">
        <f ca="1">OFFSET(Cost_Ingredients!N$146,$D58,0)*$J58</f>
        <v>0</v>
      </c>
      <c r="M58" s="169">
        <f ca="1">OFFSET(Cost_Ingredients!O$146,$D58,0)*$J58</f>
        <v>0</v>
      </c>
      <c r="N58" s="176">
        <f ca="1">OFFSET(Cost_Ingredients!P$146,$D58,0)*$J58</f>
        <v>0</v>
      </c>
      <c r="O58" s="176">
        <f ca="1">OFFSET(Cost_Ingredients!Q$146,$D58,0)*$J58</f>
        <v>0</v>
      </c>
      <c r="P58" s="151"/>
    </row>
    <row r="59" spans="3:16" s="23" customFormat="1">
      <c r="D59" s="746">
        <v>1</v>
      </c>
      <c r="E59" s="746"/>
      <c r="F59" s="746"/>
      <c r="G59" s="749"/>
      <c r="H59" s="151" t="s">
        <v>153</v>
      </c>
      <c r="I59" s="169">
        <f ca="1">OFFSET(Cost_Ingredients!$M$146,$D59,0)</f>
        <v>0</v>
      </c>
      <c r="J59" s="64">
        <v>16</v>
      </c>
      <c r="L59" s="169">
        <f ca="1">OFFSET(Cost_Ingredients!N$146,$D59,0)*$J59</f>
        <v>0</v>
      </c>
      <c r="M59" s="169">
        <f ca="1">OFFSET(Cost_Ingredients!O$146,$D59,0)*$J59</f>
        <v>0</v>
      </c>
      <c r="N59" s="176">
        <f ca="1">OFFSET(Cost_Ingredients!P$146,$D59,0)*$J59</f>
        <v>0</v>
      </c>
      <c r="O59" s="176">
        <f ca="1">OFFSET(Cost_Ingredients!Q$146,$D59,0)*$J59</f>
        <v>0</v>
      </c>
      <c r="P59" s="151"/>
    </row>
    <row r="60" spans="3:16" s="23" customFormat="1">
      <c r="D60" s="746">
        <v>1</v>
      </c>
      <c r="E60" s="746"/>
      <c r="F60" s="746"/>
      <c r="G60" s="749"/>
      <c r="H60" s="151" t="s">
        <v>153</v>
      </c>
      <c r="I60" s="169">
        <f ca="1">OFFSET(Cost_Ingredients!$M$146,$D60,0)</f>
        <v>0</v>
      </c>
      <c r="J60" s="64">
        <v>0</v>
      </c>
      <c r="L60" s="169">
        <f ca="1">OFFSET(Cost_Ingredients!N$146,$D60,0)*$J60</f>
        <v>0</v>
      </c>
      <c r="M60" s="169">
        <f ca="1">OFFSET(Cost_Ingredients!O$146,$D60,0)*$J60</f>
        <v>0</v>
      </c>
      <c r="N60" s="176">
        <f ca="1">OFFSET(Cost_Ingredients!P$146,$D60,0)*$J60</f>
        <v>0</v>
      </c>
      <c r="O60" s="176">
        <f ca="1">OFFSET(Cost_Ingredients!Q$146,$D60,0)*$J60</f>
        <v>0</v>
      </c>
      <c r="P60" s="151"/>
    </row>
    <row r="61" spans="3:16" s="23" customFormat="1">
      <c r="D61" s="746">
        <v>1</v>
      </c>
      <c r="E61" s="746"/>
      <c r="F61" s="746"/>
      <c r="G61" s="749"/>
      <c r="H61" s="151" t="s">
        <v>153</v>
      </c>
      <c r="I61" s="169">
        <f ca="1">OFFSET(Cost_Ingredients!$M$146,$D61,0)</f>
        <v>0</v>
      </c>
      <c r="J61" s="64">
        <v>0</v>
      </c>
      <c r="L61" s="169">
        <f ca="1">OFFSET(Cost_Ingredients!N$146,$D61,0)*$J61</f>
        <v>0</v>
      </c>
      <c r="M61" s="169">
        <f ca="1">OFFSET(Cost_Ingredients!O$146,$D61,0)*$J61</f>
        <v>0</v>
      </c>
      <c r="N61" s="176">
        <f ca="1">OFFSET(Cost_Ingredients!P$146,$D61,0)*$J61</f>
        <v>0</v>
      </c>
      <c r="O61" s="176">
        <f ca="1">OFFSET(Cost_Ingredients!Q$146,$D61,0)*$J61</f>
        <v>0</v>
      </c>
      <c r="P61" s="151"/>
    </row>
    <row r="62" spans="3:16" s="23" customFormat="1">
      <c r="D62" s="746">
        <v>1</v>
      </c>
      <c r="E62" s="746"/>
      <c r="F62" s="746"/>
      <c r="G62" s="749"/>
      <c r="H62" s="151" t="s">
        <v>153</v>
      </c>
      <c r="I62" s="169">
        <f ca="1">OFFSET(Cost_Ingredients!$M$146,$D62,0)</f>
        <v>0</v>
      </c>
      <c r="J62" s="64">
        <v>0</v>
      </c>
      <c r="L62" s="169">
        <f ca="1">OFFSET(Cost_Ingredients!N$146,$D62,0)*$J62</f>
        <v>0</v>
      </c>
      <c r="M62" s="169">
        <f ca="1">OFFSET(Cost_Ingredients!O$146,$D62,0)*$J62</f>
        <v>0</v>
      </c>
      <c r="N62" s="176">
        <f ca="1">OFFSET(Cost_Ingredients!P$146,$D62,0)*$J62</f>
        <v>0</v>
      </c>
      <c r="O62" s="176">
        <f ca="1">OFFSET(Cost_Ingredients!Q$146,$D62,0)*$J62</f>
        <v>0</v>
      </c>
      <c r="P62" s="151"/>
    </row>
    <row r="63" spans="3:16" s="23" customFormat="1">
      <c r="D63" s="746">
        <v>1</v>
      </c>
      <c r="E63" s="746"/>
      <c r="F63" s="746"/>
      <c r="G63" s="749"/>
      <c r="H63" s="151" t="s">
        <v>153</v>
      </c>
      <c r="I63" s="169">
        <f ca="1">OFFSET(Cost_Ingredients!$M$146,$D63,0)</f>
        <v>0</v>
      </c>
      <c r="J63" s="64">
        <v>0</v>
      </c>
      <c r="L63" s="169">
        <f ca="1">OFFSET(Cost_Ingredients!N$146,$D63,0)*$J63</f>
        <v>0</v>
      </c>
      <c r="M63" s="169">
        <f ca="1">OFFSET(Cost_Ingredients!O$146,$D63,0)*$J63</f>
        <v>0</v>
      </c>
      <c r="N63" s="176">
        <f ca="1">OFFSET(Cost_Ingredients!P$146,$D63,0)*$J63</f>
        <v>0</v>
      </c>
      <c r="O63" s="176">
        <f ca="1">OFFSET(Cost_Ingredients!Q$146,$D63,0)*$J63</f>
        <v>0</v>
      </c>
      <c r="P63" s="151"/>
    </row>
    <row r="64" spans="3:16" s="23" customFormat="1">
      <c r="D64" s="746">
        <v>1</v>
      </c>
      <c r="E64" s="746"/>
      <c r="F64" s="746"/>
      <c r="G64" s="749"/>
      <c r="H64" s="151" t="s">
        <v>153</v>
      </c>
      <c r="I64" s="169">
        <f ca="1">OFFSET(Cost_Ingredients!$M$146,$D64,0)</f>
        <v>0</v>
      </c>
      <c r="J64" s="64">
        <v>0</v>
      </c>
      <c r="L64" s="169">
        <f ca="1">OFFSET(Cost_Ingredients!N$146,$D64,0)*$J64</f>
        <v>0</v>
      </c>
      <c r="M64" s="169">
        <f ca="1">OFFSET(Cost_Ingredients!O$146,$D64,0)*$J64</f>
        <v>0</v>
      </c>
      <c r="N64" s="176">
        <f ca="1">OFFSET(Cost_Ingredients!P$146,$D64,0)*$J64</f>
        <v>0</v>
      </c>
      <c r="O64" s="176">
        <f ca="1">OFFSET(Cost_Ingredients!Q$146,$D64,0)*$J64</f>
        <v>0</v>
      </c>
      <c r="P64" s="151"/>
    </row>
    <row r="65" spans="3:16" s="23" customFormat="1">
      <c r="D65" s="746">
        <v>1</v>
      </c>
      <c r="E65" s="746"/>
      <c r="F65" s="746"/>
      <c r="G65" s="749"/>
      <c r="H65" s="151" t="s">
        <v>153</v>
      </c>
      <c r="I65" s="169">
        <f ca="1">OFFSET(Cost_Ingredients!$M$146,$D65,0)</f>
        <v>0</v>
      </c>
      <c r="J65" s="64">
        <v>0</v>
      </c>
      <c r="L65" s="169">
        <f ca="1">OFFSET(Cost_Ingredients!N$146,$D65,0)*$J65</f>
        <v>0</v>
      </c>
      <c r="M65" s="169">
        <f ca="1">OFFSET(Cost_Ingredients!O$146,$D65,0)*$J65</f>
        <v>0</v>
      </c>
      <c r="N65" s="176">
        <f ca="1">OFFSET(Cost_Ingredients!P$146,$D65,0)*$J65</f>
        <v>0</v>
      </c>
      <c r="O65" s="176">
        <f ca="1">OFFSET(Cost_Ingredients!Q$146,$D65,0)*$J65</f>
        <v>0</v>
      </c>
      <c r="P65" s="151"/>
    </row>
    <row r="66" spans="3:16" s="23" customFormat="1">
      <c r="D66" s="746">
        <v>1</v>
      </c>
      <c r="E66" s="746"/>
      <c r="F66" s="746"/>
      <c r="G66" s="749"/>
      <c r="H66" s="172" t="s">
        <v>153</v>
      </c>
      <c r="I66" s="169">
        <f ca="1">OFFSET(Cost_Ingredients!$M$146,$D66,0)</f>
        <v>0</v>
      </c>
      <c r="J66" s="173">
        <v>0</v>
      </c>
      <c r="L66" s="169">
        <f ca="1">OFFSET(Cost_Ingredients!N$146,$D66,0)*$J66</f>
        <v>0</v>
      </c>
      <c r="M66" s="169">
        <f ca="1">OFFSET(Cost_Ingredients!O$146,$D66,0)*$J66</f>
        <v>0</v>
      </c>
      <c r="N66" s="176">
        <f ca="1">OFFSET(Cost_Ingredients!P$146,$D66,0)*$J66</f>
        <v>0</v>
      </c>
      <c r="O66" s="176">
        <f ca="1">OFFSET(Cost_Ingredients!Q$146,$D66,0)*$J66</f>
        <v>0</v>
      </c>
      <c r="P66" s="172"/>
    </row>
    <row r="67" spans="3:16" s="23" customFormat="1">
      <c r="D67" s="12"/>
      <c r="E67" s="12"/>
      <c r="F67" s="12"/>
      <c r="G67" s="12"/>
      <c r="H67" s="156"/>
      <c r="I67" s="156"/>
      <c r="J67" s="69"/>
      <c r="L67" s="59">
        <f ca="1">SUM(L58:L66)</f>
        <v>0</v>
      </c>
      <c r="M67" s="59">
        <f ca="1">SUM(M58:M66)</f>
        <v>0</v>
      </c>
      <c r="N67" s="45">
        <f ca="1">SUM(N58:N66)</f>
        <v>0</v>
      </c>
      <c r="O67" s="45">
        <f ca="1">SUM(O58:O66)</f>
        <v>0</v>
      </c>
      <c r="P67" s="156"/>
    </row>
    <row r="68" spans="3:16">
      <c r="K68" s="23"/>
    </row>
    <row r="69" spans="3:16" ht="15" thickBot="1">
      <c r="C69" s="70" t="str">
        <f>"Total "&amp;C9</f>
        <v>Total Detailed Cost Estimate: Media relations established</v>
      </c>
      <c r="J69" s="23"/>
      <c r="K69" s="23"/>
      <c r="L69" s="57">
        <f ca="1">SUM(L31,L40,L54,L67)</f>
        <v>16540</v>
      </c>
      <c r="M69" s="57">
        <f ca="1">SUM(M31,M40,M54,M67)</f>
        <v>23901.136363636364</v>
      </c>
      <c r="N69" s="58">
        <f ca="1">SUM(N31,N40,N54,N67)</f>
        <v>110.26666666666667</v>
      </c>
      <c r="O69" s="58">
        <f ca="1">SUM(O31,O40,O54,O67)</f>
        <v>159.34090909090909</v>
      </c>
    </row>
    <row r="70" spans="3:16" ht="15" thickTop="1">
      <c r="K70" s="23"/>
    </row>
    <row r="71" spans="3:16">
      <c r="K71" s="23"/>
    </row>
    <row r="72" spans="3:16" ht="15.6">
      <c r="C72" s="171" t="str">
        <f>"Detailed Cost Estimate: "&amp;IEC!$F$17</f>
        <v xml:space="preserve">Detailed Cost Estimate: National press release for Health Care Worker vaccination </v>
      </c>
      <c r="K72" s="23"/>
      <c r="N72" s="23"/>
    </row>
    <row r="73" spans="3:16">
      <c r="K73" s="23"/>
    </row>
    <row r="74" spans="3:16">
      <c r="F74" s="152" t="s">
        <v>691</v>
      </c>
      <c r="H74" s="162" t="str">
        <f>IEC!$G$17</f>
        <v>1 press release provided to national press</v>
      </c>
      <c r="I74" s="61"/>
      <c r="J74" s="61"/>
      <c r="K74" s="61"/>
      <c r="L74" s="61"/>
      <c r="M74" s="61"/>
      <c r="N74" s="61"/>
      <c r="O74" s="61"/>
      <c r="P74" s="61"/>
    </row>
    <row r="75" spans="3:16" s="23" customFormat="1"/>
    <row r="76" spans="3:16">
      <c r="C76" s="160" t="str">
        <f>FLU_LU!$D$278</f>
        <v xml:space="preserve">Personnel </v>
      </c>
      <c r="K76" s="23"/>
    </row>
    <row r="77" spans="3:16" ht="43.2">
      <c r="D77" s="733" t="s">
        <v>100</v>
      </c>
      <c r="E77" s="733"/>
      <c r="F77" s="733"/>
      <c r="G77" s="733"/>
      <c r="H77" s="142" t="s">
        <v>274</v>
      </c>
      <c r="I77" s="72" t="s">
        <v>474</v>
      </c>
      <c r="J77" s="152" t="s">
        <v>67</v>
      </c>
      <c r="K77" s="72" t="s">
        <v>475</v>
      </c>
      <c r="L77" s="28" t="str">
        <f>"Financial Price ("&amp;FLU_LU!$D$79&amp;")"</f>
        <v>Financial Price (GOZ)</v>
      </c>
      <c r="M77" s="28" t="str">
        <f>"Economic Price ("&amp;FLU_LU!$D$79&amp;")"</f>
        <v>Economic Price (GOZ)</v>
      </c>
      <c r="N77" s="28" t="str">
        <f>"Financial Price ("&amp;FLU_LU!$D$78&amp;")"</f>
        <v>Financial Price (USD)</v>
      </c>
      <c r="O77" s="28" t="str">
        <f>"Economic Price ("&amp;FLU_LU!$D$78&amp;")"</f>
        <v>Economic Price (USD)</v>
      </c>
      <c r="P77" s="152" t="s">
        <v>68</v>
      </c>
    </row>
    <row r="78" spans="3:16" s="23" customFormat="1">
      <c r="D78" s="746">
        <v>2</v>
      </c>
      <c r="E78" s="746"/>
      <c r="F78" s="746"/>
      <c r="G78" s="749"/>
      <c r="H78" s="151"/>
      <c r="I78" s="31">
        <v>1</v>
      </c>
      <c r="J78" s="64">
        <v>5</v>
      </c>
      <c r="K78" s="135">
        <f t="shared" ref="K78:K83" si="1">IF(I78=1,J78/FLU_DAYS_PER_MONTH,IF(I78=2,J78/FLU_HOURS_PER_MONTH,J78/FLU_MINUTES_PER_MONTH))</f>
        <v>0.22727272727272727</v>
      </c>
      <c r="L78" s="169">
        <f ca="1">OFFSET(Cost_Ingredients!$N$73,DD_FLU_SOCMOB_2_GROUP_B_1,0)*$K78</f>
        <v>0</v>
      </c>
      <c r="M78" s="169">
        <f ca="1">OFFSET(Cost_Ingredients!$O$73,DD_FLU_SOCMOB_2_GROUP_B_1,0)*$K78</f>
        <v>0</v>
      </c>
      <c r="N78" s="179">
        <f ca="1">OFFSET(Cost_Ingredients!$P$73,DD_FLU_SOCMOB_2_GROUP_B_1,0)*$K78</f>
        <v>0</v>
      </c>
      <c r="O78" s="179">
        <f ca="1">OFFSET(Cost_Ingredients!$Q$73,DD_FLU_SOCMOB_2_GROUP_B_1,0)*$K78</f>
        <v>0</v>
      </c>
      <c r="P78" s="158"/>
    </row>
    <row r="79" spans="3:16" s="23" customFormat="1">
      <c r="D79" s="746">
        <v>1</v>
      </c>
      <c r="E79" s="746"/>
      <c r="F79" s="746"/>
      <c r="G79" s="749"/>
      <c r="H79" s="151"/>
      <c r="I79" s="31">
        <v>1</v>
      </c>
      <c r="J79" s="64">
        <v>5</v>
      </c>
      <c r="K79" s="135">
        <f t="shared" si="1"/>
        <v>0.22727272727272727</v>
      </c>
      <c r="L79" s="169">
        <f ca="1">OFFSET(Cost_Ingredients!$N$73,DD_FLU_SOCMOB_2_GROUP_B_2,0)*$K79</f>
        <v>0</v>
      </c>
      <c r="M79" s="169">
        <f ca="1">OFFSET(Cost_Ingredients!$O$73,DD_FLU_SOCMOB_2_GROUP_B_2,0)*$K79</f>
        <v>0</v>
      </c>
      <c r="N79" s="179">
        <f ca="1">OFFSET(Cost_Ingredients!$P$73,DD_FLU_SOCMOB_2_GROUP_B_2,0)*$K79</f>
        <v>0</v>
      </c>
      <c r="O79" s="179">
        <f ca="1">OFFSET(Cost_Ingredients!$Q$73,DD_FLU_SOCMOB_2_GROUP_B_2,0)*$K79</f>
        <v>0</v>
      </c>
      <c r="P79" s="158"/>
    </row>
    <row r="80" spans="3:16" s="23" customFormat="1">
      <c r="D80" s="746">
        <v>1</v>
      </c>
      <c r="E80" s="746"/>
      <c r="F80" s="746"/>
      <c r="G80" s="749"/>
      <c r="H80" s="151"/>
      <c r="I80" s="31">
        <v>1</v>
      </c>
      <c r="J80" s="64">
        <v>5</v>
      </c>
      <c r="K80" s="135">
        <f t="shared" si="1"/>
        <v>0.22727272727272727</v>
      </c>
      <c r="L80" s="169">
        <f ca="1">OFFSET(Cost_Ingredients!$N$73,DD_FLU_SOCMOB_2_GROUP_B_3,0)*$K80</f>
        <v>0</v>
      </c>
      <c r="M80" s="169">
        <f ca="1">OFFSET(Cost_Ingredients!$O$73,DD_FLU_SOCMOB_2_GROUP_B_3,0)*$K80</f>
        <v>0</v>
      </c>
      <c r="N80" s="179">
        <f ca="1">OFFSET(Cost_Ingredients!$P$73,DD_FLU_SOCMOB_2_GROUP_B_3,0)*$K80</f>
        <v>0</v>
      </c>
      <c r="O80" s="179">
        <f ca="1">OFFSET(Cost_Ingredients!$Q$73,DD_FLU_SOCMOB_2_GROUP_B_3,0)*$K80</f>
        <v>0</v>
      </c>
      <c r="P80" s="158"/>
    </row>
    <row r="81" spans="3:16" s="23" customFormat="1">
      <c r="D81" s="746">
        <v>1</v>
      </c>
      <c r="E81" s="746"/>
      <c r="F81" s="746"/>
      <c r="G81" s="749"/>
      <c r="H81" s="151"/>
      <c r="I81" s="31">
        <v>1</v>
      </c>
      <c r="J81" s="64">
        <v>0</v>
      </c>
      <c r="K81" s="135">
        <f t="shared" si="1"/>
        <v>0</v>
      </c>
      <c r="L81" s="169">
        <f ca="1">OFFSET(Cost_Ingredients!$N$73,DD_FLU_SOCMOB_2_GROUP_B_4,0)*$K81</f>
        <v>0</v>
      </c>
      <c r="M81" s="169">
        <f ca="1">OFFSET(Cost_Ingredients!$O$73,DD_FLU_SOCMOB_2_GROUP_B_4,0)*$K81</f>
        <v>0</v>
      </c>
      <c r="N81" s="179">
        <f ca="1">OFFSET(Cost_Ingredients!$P$73,DD_FLU_SOCMOB_2_GROUP_B_4,0)*$K81</f>
        <v>0</v>
      </c>
      <c r="O81" s="179">
        <f ca="1">OFFSET(Cost_Ingredients!$Q$73,DD_FLU_SOCMOB_2_GROUP_B_4,0)*$K81</f>
        <v>0</v>
      </c>
      <c r="P81" s="158"/>
    </row>
    <row r="82" spans="3:16" s="23" customFormat="1">
      <c r="D82" s="746">
        <v>1</v>
      </c>
      <c r="E82" s="746"/>
      <c r="F82" s="746"/>
      <c r="G82" s="749"/>
      <c r="H82" s="151"/>
      <c r="I82" s="31">
        <v>1</v>
      </c>
      <c r="J82" s="64"/>
      <c r="K82" s="135">
        <f t="shared" si="1"/>
        <v>0</v>
      </c>
      <c r="L82" s="169">
        <f ca="1">OFFSET(Cost_Ingredients!$N$73,DD_FLU_SOCMOB_2_GROUP_B_5,0)*$K82</f>
        <v>0</v>
      </c>
      <c r="M82" s="169">
        <f ca="1">OFFSET(Cost_Ingredients!$O$73,DD_FLU_SOCMOB_2_GROUP_B_5,0)*$K82</f>
        <v>0</v>
      </c>
      <c r="N82" s="179">
        <f ca="1">OFFSET(Cost_Ingredients!$P$73,DD_FLU_SOCMOB_2_GROUP_B_5,0)*$K82</f>
        <v>0</v>
      </c>
      <c r="O82" s="179">
        <f ca="1">OFFSET(Cost_Ingredients!$Q$73,DD_FLU_SOCMOB_2_GROUP_B_5,0)*$K82</f>
        <v>0</v>
      </c>
      <c r="P82" s="158"/>
    </row>
    <row r="83" spans="3:16" s="23" customFormat="1">
      <c r="D83" s="746">
        <v>1</v>
      </c>
      <c r="E83" s="746"/>
      <c r="F83" s="746"/>
      <c r="G83" s="749"/>
      <c r="H83" s="172"/>
      <c r="I83" s="31">
        <v>1</v>
      </c>
      <c r="J83" s="173">
        <v>0</v>
      </c>
      <c r="K83" s="135">
        <f t="shared" si="1"/>
        <v>0</v>
      </c>
      <c r="L83" s="169">
        <f ca="1">OFFSET(Cost_Ingredients!$N$73,DD_FLU_SOCMOB_2_GROUP_B_6,0)*$K83</f>
        <v>0</v>
      </c>
      <c r="M83" s="169">
        <f ca="1">OFFSET(Cost_Ingredients!$O$73,DD_FLU_SOCMOB_2_GROUP_B_6,0)*$K83</f>
        <v>0</v>
      </c>
      <c r="N83" s="179">
        <f ca="1">OFFSET(Cost_Ingredients!$P$73,DD_FLU_SOCMOB_2_GROUP_B_6,0)*$K83</f>
        <v>0</v>
      </c>
      <c r="O83" s="179">
        <f ca="1">OFFSET(Cost_Ingredients!$Q$73,DD_FLU_SOCMOB_2_GROUP_B_6,0)*$K83</f>
        <v>0</v>
      </c>
      <c r="P83" s="174"/>
    </row>
    <row r="84" spans="3:16" s="23" customFormat="1" ht="15" thickBot="1">
      <c r="D84" s="759" t="s">
        <v>161</v>
      </c>
      <c r="E84" s="759"/>
      <c r="F84" s="759"/>
      <c r="G84" s="759"/>
      <c r="H84" s="157"/>
      <c r="J84" s="71"/>
      <c r="K84" s="162">
        <f>SUM(K78:K83)</f>
        <v>0.68181818181818177</v>
      </c>
      <c r="L84" s="24">
        <f ca="1">SUM(L78:L83)</f>
        <v>0</v>
      </c>
      <c r="M84" s="182">
        <f ca="1">SUM(M78:M83)</f>
        <v>0</v>
      </c>
      <c r="N84" s="198">
        <f ca="1">SUM(N78:N83)</f>
        <v>0</v>
      </c>
      <c r="O84" s="198">
        <f ca="1">SUM(O78:O83)</f>
        <v>0</v>
      </c>
      <c r="P84" s="157"/>
    </row>
    <row r="85" spans="3:16">
      <c r="K85" s="23"/>
    </row>
    <row r="86" spans="3:16">
      <c r="C86" s="153" t="str">
        <f>FLU_LU!$D$279</f>
        <v>Allowances</v>
      </c>
      <c r="K86" s="23"/>
    </row>
    <row r="87" spans="3:16" ht="28.8">
      <c r="D87" s="733" t="s">
        <v>100</v>
      </c>
      <c r="E87" s="733"/>
      <c r="F87" s="733"/>
      <c r="G87" s="733"/>
      <c r="H87" s="764" t="s">
        <v>101</v>
      </c>
      <c r="I87" s="764"/>
      <c r="J87" s="152" t="s">
        <v>67</v>
      </c>
      <c r="K87" s="23"/>
      <c r="L87" s="28" t="str">
        <f>"Financial Price ("&amp;FLU_LU!$D$79&amp;")"</f>
        <v>Financial Price (GOZ)</v>
      </c>
      <c r="M87" s="28" t="str">
        <f>"Economic Price ("&amp;FLU_LU!$D$79&amp;")"</f>
        <v>Economic Price (GOZ)</v>
      </c>
      <c r="N87" s="28" t="str">
        <f>"Financial Price ("&amp;FLU_LU!$D$78&amp;")"</f>
        <v>Financial Price (USD)</v>
      </c>
      <c r="O87" s="28" t="str">
        <f>"Economic Price ("&amp;FLU_LU!$D$78&amp;")"</f>
        <v>Economic Price (USD)</v>
      </c>
      <c r="P87" s="152" t="s">
        <v>68</v>
      </c>
    </row>
    <row r="88" spans="3:16" s="23" customFormat="1">
      <c r="D88" s="746">
        <v>2</v>
      </c>
      <c r="E88" s="746"/>
      <c r="F88" s="746"/>
      <c r="G88" s="749"/>
      <c r="H88" s="667"/>
      <c r="I88" s="667"/>
      <c r="J88" s="64">
        <v>6</v>
      </c>
      <c r="L88" s="169">
        <f ca="1">OFFSET(Cost_Ingredients!N$103,$D88,0)*$J88</f>
        <v>33000</v>
      </c>
      <c r="M88" s="169">
        <f ca="1">OFFSET(Cost_Ingredients!O$103,$D88,0)*$J88</f>
        <v>33000</v>
      </c>
      <c r="N88" s="176">
        <f ca="1">OFFSET(Cost_Ingredients!P$103,$D88,0)*$J88</f>
        <v>220</v>
      </c>
      <c r="O88" s="176">
        <f ca="1">OFFSET(Cost_Ingredients!Q$103,$D88,0)*$J88</f>
        <v>220</v>
      </c>
      <c r="P88" s="151"/>
    </row>
    <row r="89" spans="3:16" s="23" customFormat="1">
      <c r="D89" s="746">
        <v>5</v>
      </c>
      <c r="E89" s="746"/>
      <c r="F89" s="746"/>
      <c r="G89" s="749"/>
      <c r="H89" s="667"/>
      <c r="I89" s="667"/>
      <c r="J89" s="64">
        <v>6</v>
      </c>
      <c r="L89" s="169">
        <f ca="1">OFFSET(Cost_Ingredients!N$103,$D89,0)*$J89</f>
        <v>0</v>
      </c>
      <c r="M89" s="169">
        <f ca="1">OFFSET(Cost_Ingredients!O$103,$D89,0)*$J89</f>
        <v>0</v>
      </c>
      <c r="N89" s="176">
        <f ca="1">OFFSET(Cost_Ingredients!P$103,$D89,0)*$J89</f>
        <v>0</v>
      </c>
      <c r="O89" s="176">
        <f ca="1">OFFSET(Cost_Ingredients!Q$103,$D89,0)*$J89</f>
        <v>0</v>
      </c>
      <c r="P89" s="151"/>
    </row>
    <row r="90" spans="3:16" s="23" customFormat="1">
      <c r="D90" s="746">
        <v>7</v>
      </c>
      <c r="E90" s="746"/>
      <c r="F90" s="746"/>
      <c r="G90" s="749"/>
      <c r="H90" s="667"/>
      <c r="I90" s="667"/>
      <c r="J90" s="64">
        <v>6</v>
      </c>
      <c r="L90" s="169">
        <f ca="1">OFFSET(Cost_Ingredients!N$103,$D90,0)*$J90</f>
        <v>0</v>
      </c>
      <c r="M90" s="169">
        <f ca="1">OFFSET(Cost_Ingredients!O$103,$D90,0)*$J90</f>
        <v>0</v>
      </c>
      <c r="N90" s="176">
        <f ca="1">OFFSET(Cost_Ingredients!P$103,$D90,0)*$J90</f>
        <v>0</v>
      </c>
      <c r="O90" s="176">
        <f ca="1">OFFSET(Cost_Ingredients!Q$103,$D90,0)*$J90</f>
        <v>0</v>
      </c>
      <c r="P90" s="151"/>
    </row>
    <row r="91" spans="3:16" s="23" customFormat="1">
      <c r="D91" s="746">
        <v>1</v>
      </c>
      <c r="E91" s="746"/>
      <c r="F91" s="746"/>
      <c r="G91" s="749"/>
      <c r="H91" s="667"/>
      <c r="I91" s="667"/>
      <c r="J91" s="64"/>
      <c r="L91" s="169">
        <f ca="1">OFFSET(Cost_Ingredients!N$103,$D91,0)*$J91</f>
        <v>0</v>
      </c>
      <c r="M91" s="169">
        <f ca="1">OFFSET(Cost_Ingredients!O$103,$D91,0)*$J91</f>
        <v>0</v>
      </c>
      <c r="N91" s="176">
        <f ca="1">OFFSET(Cost_Ingredients!P$103,$D91,0)*$J91</f>
        <v>0</v>
      </c>
      <c r="O91" s="176">
        <f ca="1">OFFSET(Cost_Ingredients!Q$103,$D91,0)*$J91</f>
        <v>0</v>
      </c>
      <c r="P91" s="151"/>
    </row>
    <row r="92" spans="3:16" s="23" customFormat="1">
      <c r="D92" s="746">
        <v>1</v>
      </c>
      <c r="E92" s="746"/>
      <c r="F92" s="746"/>
      <c r="G92" s="749"/>
      <c r="H92" s="667"/>
      <c r="I92" s="667"/>
      <c r="J92" s="64">
        <v>0</v>
      </c>
      <c r="L92" s="169">
        <f ca="1">OFFSET(Cost_Ingredients!N$103,$D92,0)*$J92</f>
        <v>0</v>
      </c>
      <c r="M92" s="169">
        <f ca="1">OFFSET(Cost_Ingredients!O$103,$D92,0)*$J92</f>
        <v>0</v>
      </c>
      <c r="N92" s="176">
        <f ca="1">OFFSET(Cost_Ingredients!P$103,$D92,0)*$J92</f>
        <v>0</v>
      </c>
      <c r="O92" s="176">
        <f ca="1">OFFSET(Cost_Ingredients!Q$103,$D92,0)*$J92</f>
        <v>0</v>
      </c>
      <c r="P92" s="151"/>
    </row>
    <row r="93" spans="3:16" s="23" customFormat="1">
      <c r="D93" s="746">
        <v>1</v>
      </c>
      <c r="E93" s="746"/>
      <c r="F93" s="746"/>
      <c r="G93" s="749"/>
      <c r="H93" s="745"/>
      <c r="I93" s="745"/>
      <c r="J93" s="173">
        <v>0</v>
      </c>
      <c r="L93" s="169">
        <f ca="1">OFFSET(Cost_Ingredients!N$103,$D93,0)*$J93</f>
        <v>0</v>
      </c>
      <c r="M93" s="169">
        <f ca="1">OFFSET(Cost_Ingredients!O$103,$D93,0)*$J93</f>
        <v>0</v>
      </c>
      <c r="N93" s="176">
        <f ca="1">OFFSET(Cost_Ingredients!P$103,$D93,0)*$J93</f>
        <v>0</v>
      </c>
      <c r="O93" s="176">
        <f ca="1">OFFSET(Cost_Ingredients!Q$103,$D93,0)*$J93</f>
        <v>0</v>
      </c>
      <c r="P93" s="172"/>
    </row>
    <row r="94" spans="3:16" s="23" customFormat="1" ht="15" thickBot="1">
      <c r="D94" s="759" t="s">
        <v>161</v>
      </c>
      <c r="E94" s="759"/>
      <c r="F94" s="759"/>
      <c r="G94" s="759"/>
      <c r="H94" s="157"/>
      <c r="I94" s="157"/>
      <c r="J94" s="71"/>
      <c r="L94" s="24">
        <f ca="1">SUM(L88:L93)</f>
        <v>33000</v>
      </c>
      <c r="M94" s="24">
        <f ca="1">SUM(M88:M93)</f>
        <v>33000</v>
      </c>
      <c r="N94" s="25">
        <f ca="1">SUM(N88:N93)</f>
        <v>220</v>
      </c>
      <c r="O94" s="25">
        <f ca="1">SUM(O88:O93)</f>
        <v>220</v>
      </c>
      <c r="P94" s="157"/>
    </row>
    <row r="95" spans="3:16">
      <c r="K95" s="23"/>
    </row>
    <row r="96" spans="3:16">
      <c r="C96" s="153" t="str">
        <f>FLU_LU!$D$280</f>
        <v>Supplies &amp; Materials</v>
      </c>
      <c r="K96" s="23"/>
    </row>
    <row r="97" spans="3:16" ht="28.8">
      <c r="D97" s="733" t="s">
        <v>100</v>
      </c>
      <c r="E97" s="733"/>
      <c r="F97" s="733"/>
      <c r="G97" s="733"/>
      <c r="H97" s="72" t="s">
        <v>101</v>
      </c>
      <c r="I97" s="152" t="s">
        <v>63</v>
      </c>
      <c r="J97" s="152" t="s">
        <v>67</v>
      </c>
      <c r="K97" s="23"/>
      <c r="L97" s="28" t="str">
        <f>"Financial Price ("&amp;FLU_LU!$D$79&amp;")"</f>
        <v>Financial Price (GOZ)</v>
      </c>
      <c r="M97" s="28" t="str">
        <f>"Economic Price ("&amp;FLU_LU!$D$79&amp;")"</f>
        <v>Economic Price (GOZ)</v>
      </c>
      <c r="N97" s="28" t="str">
        <f>"Financial Price ("&amp;FLU_LU!$D$78&amp;")"</f>
        <v>Financial Price (USD)</v>
      </c>
      <c r="O97" s="28" t="str">
        <f>"Economic Price ("&amp;FLU_LU!$D$78&amp;")"</f>
        <v>Economic Price (USD)</v>
      </c>
      <c r="P97" s="152" t="s">
        <v>68</v>
      </c>
    </row>
    <row r="98" spans="3:16" s="23" customFormat="1">
      <c r="D98" s="746">
        <v>3</v>
      </c>
      <c r="E98" s="746"/>
      <c r="F98" s="746"/>
      <c r="G98" s="749"/>
      <c r="H98" s="151"/>
      <c r="I98" s="169" t="str">
        <f ca="1">OFFSET(Cost_Ingredients!$M$117,$D98,0)</f>
        <v>pz</v>
      </c>
      <c r="J98" s="64">
        <v>40</v>
      </c>
      <c r="L98" s="169">
        <f ca="1">OFFSET(Cost_Ingredients!N$117,$D98,0)*$J98</f>
        <v>40</v>
      </c>
      <c r="M98" s="169">
        <f ca="1">OFFSET(Cost_Ingredients!O$117,$D98,0)*$J98</f>
        <v>240</v>
      </c>
      <c r="N98" s="176">
        <f ca="1">OFFSET(Cost_Ingredients!P$117,$D98,0)*$J98</f>
        <v>0.26666666666666666</v>
      </c>
      <c r="O98" s="176">
        <f ca="1">OFFSET(Cost_Ingredients!Q$117,$D98,0)*$J98</f>
        <v>1.6</v>
      </c>
      <c r="P98" s="151"/>
    </row>
    <row r="99" spans="3:16" s="23" customFormat="1">
      <c r="D99" s="746">
        <v>1</v>
      </c>
      <c r="E99" s="746"/>
      <c r="F99" s="746"/>
      <c r="G99" s="749"/>
      <c r="H99" s="151"/>
      <c r="I99" s="169">
        <f ca="1">OFFSET(Cost_Ingredients!$M$117,$D99,0)</f>
        <v>0</v>
      </c>
      <c r="J99" s="64">
        <v>0</v>
      </c>
      <c r="L99" s="169">
        <f ca="1">OFFSET(Cost_Ingredients!N$117,$D99,0)*$J99</f>
        <v>0</v>
      </c>
      <c r="M99" s="169">
        <f ca="1">OFFSET(Cost_Ingredients!O$117,$D99,0)*$J99</f>
        <v>0</v>
      </c>
      <c r="N99" s="176">
        <f ca="1">OFFSET(Cost_Ingredients!P$117,$D99,0)*$J99</f>
        <v>0</v>
      </c>
      <c r="O99" s="176">
        <f ca="1">OFFSET(Cost_Ingredients!Q$117,$D99,0)*$J99</f>
        <v>0</v>
      </c>
      <c r="P99" s="151"/>
    </row>
    <row r="100" spans="3:16" s="23" customFormat="1">
      <c r="D100" s="746">
        <v>1</v>
      </c>
      <c r="E100" s="746"/>
      <c r="F100" s="746"/>
      <c r="G100" s="749"/>
      <c r="H100" s="151"/>
      <c r="I100" s="169">
        <f ca="1">OFFSET(Cost_Ingredients!$M$117,$D100,0)</f>
        <v>0</v>
      </c>
      <c r="J100" s="64">
        <v>0</v>
      </c>
      <c r="L100" s="169">
        <f ca="1">OFFSET(Cost_Ingredients!N$117,$D100,0)*$J100</f>
        <v>0</v>
      </c>
      <c r="M100" s="169">
        <f ca="1">OFFSET(Cost_Ingredients!O$117,$D100,0)*$J100</f>
        <v>0</v>
      </c>
      <c r="N100" s="176">
        <f ca="1">OFFSET(Cost_Ingredients!P$117,$D100,0)*$J100</f>
        <v>0</v>
      </c>
      <c r="O100" s="176">
        <f ca="1">OFFSET(Cost_Ingredients!Q$117,$D100,0)*$J100</f>
        <v>0</v>
      </c>
      <c r="P100" s="151"/>
    </row>
    <row r="101" spans="3:16" s="23" customFormat="1">
      <c r="D101" s="746">
        <v>1</v>
      </c>
      <c r="E101" s="746"/>
      <c r="F101" s="746"/>
      <c r="G101" s="749"/>
      <c r="H101" s="151"/>
      <c r="I101" s="169">
        <f ca="1">OFFSET(Cost_Ingredients!$M$117,$D101,0)</f>
        <v>0</v>
      </c>
      <c r="J101" s="64">
        <v>0</v>
      </c>
      <c r="L101" s="169">
        <f ca="1">OFFSET(Cost_Ingredients!N$117,$D101,0)*$J101</f>
        <v>0</v>
      </c>
      <c r="M101" s="169">
        <f ca="1">OFFSET(Cost_Ingredients!O$117,$D101,0)*$J101</f>
        <v>0</v>
      </c>
      <c r="N101" s="176">
        <f ca="1">OFFSET(Cost_Ingredients!P$117,$D101,0)*$J101</f>
        <v>0</v>
      </c>
      <c r="O101" s="176">
        <f ca="1">OFFSET(Cost_Ingredients!Q$117,$D101,0)*$J101</f>
        <v>0</v>
      </c>
      <c r="P101" s="151"/>
    </row>
    <row r="102" spans="3:16" s="23" customFormat="1">
      <c r="D102" s="746">
        <v>1</v>
      </c>
      <c r="E102" s="746"/>
      <c r="F102" s="746"/>
      <c r="G102" s="749"/>
      <c r="H102" s="151"/>
      <c r="I102" s="169">
        <f ca="1">OFFSET(Cost_Ingredients!$M$117,$D102,0)</f>
        <v>0</v>
      </c>
      <c r="J102" s="64">
        <v>0</v>
      </c>
      <c r="L102" s="169">
        <f ca="1">OFFSET(Cost_Ingredients!N$117,$D102,0)*$J102</f>
        <v>0</v>
      </c>
      <c r="M102" s="169">
        <f ca="1">OFFSET(Cost_Ingredients!O$117,$D102,0)*$J102</f>
        <v>0</v>
      </c>
      <c r="N102" s="176">
        <f ca="1">OFFSET(Cost_Ingredients!P$117,$D102,0)*$J102</f>
        <v>0</v>
      </c>
      <c r="O102" s="176">
        <f ca="1">OFFSET(Cost_Ingredients!Q$117,$D102,0)*$J102</f>
        <v>0</v>
      </c>
      <c r="P102" s="151"/>
    </row>
    <row r="103" spans="3:16" s="23" customFormat="1">
      <c r="D103" s="746">
        <v>1</v>
      </c>
      <c r="E103" s="746"/>
      <c r="F103" s="746"/>
      <c r="G103" s="749"/>
      <c r="H103" s="151"/>
      <c r="I103" s="169">
        <f ca="1">OFFSET(Cost_Ingredients!$M$117,$D103,0)</f>
        <v>0</v>
      </c>
      <c r="J103" s="64">
        <v>0</v>
      </c>
      <c r="L103" s="169">
        <f ca="1">OFFSET(Cost_Ingredients!N$117,$D103,0)*$J103</f>
        <v>0</v>
      </c>
      <c r="M103" s="169">
        <f ca="1">OFFSET(Cost_Ingredients!O$117,$D103,0)*$J103</f>
        <v>0</v>
      </c>
      <c r="N103" s="176">
        <f ca="1">OFFSET(Cost_Ingredients!P$117,$D103,0)*$J103</f>
        <v>0</v>
      </c>
      <c r="O103" s="176">
        <f ca="1">OFFSET(Cost_Ingredients!Q$117,$D103,0)*$J103</f>
        <v>0</v>
      </c>
      <c r="P103" s="151"/>
    </row>
    <row r="104" spans="3:16" s="23" customFormat="1">
      <c r="D104" s="746">
        <v>1</v>
      </c>
      <c r="E104" s="746"/>
      <c r="F104" s="746"/>
      <c r="G104" s="749"/>
      <c r="H104" s="151"/>
      <c r="I104" s="169">
        <f ca="1">OFFSET(Cost_Ingredients!$M$117,$D104,0)</f>
        <v>0</v>
      </c>
      <c r="J104" s="64">
        <v>0</v>
      </c>
      <c r="L104" s="169">
        <f ca="1">OFFSET(Cost_Ingredients!N$117,$D104,0)*$J104</f>
        <v>0</v>
      </c>
      <c r="M104" s="169">
        <f ca="1">OFFSET(Cost_Ingredients!O$117,$D104,0)*$J104</f>
        <v>0</v>
      </c>
      <c r="N104" s="176">
        <f ca="1">OFFSET(Cost_Ingredients!P$117,$D104,0)*$J104</f>
        <v>0</v>
      </c>
      <c r="O104" s="176">
        <f ca="1">OFFSET(Cost_Ingredients!Q$117,$D104,0)*$J104</f>
        <v>0</v>
      </c>
      <c r="P104" s="151"/>
    </row>
    <row r="105" spans="3:16" s="23" customFormat="1">
      <c r="D105" s="746">
        <v>1</v>
      </c>
      <c r="E105" s="746"/>
      <c r="F105" s="746"/>
      <c r="G105" s="749"/>
      <c r="H105" s="151"/>
      <c r="I105" s="169">
        <f ca="1">OFFSET(Cost_Ingredients!$M$117,$D105,0)</f>
        <v>0</v>
      </c>
      <c r="J105" s="64">
        <v>0</v>
      </c>
      <c r="L105" s="169">
        <f ca="1">OFFSET(Cost_Ingredients!N$117,$D105,0)*$J105</f>
        <v>0</v>
      </c>
      <c r="M105" s="169">
        <f ca="1">OFFSET(Cost_Ingredients!O$117,$D105,0)*$J105</f>
        <v>0</v>
      </c>
      <c r="N105" s="176">
        <f ca="1">OFFSET(Cost_Ingredients!P$117,$D105,0)*$J105</f>
        <v>0</v>
      </c>
      <c r="O105" s="176">
        <f ca="1">OFFSET(Cost_Ingredients!Q$117,$D105,0)*$J105</f>
        <v>0</v>
      </c>
      <c r="P105" s="151"/>
    </row>
    <row r="106" spans="3:16" s="23" customFormat="1">
      <c r="D106" s="746">
        <v>1</v>
      </c>
      <c r="E106" s="746"/>
      <c r="F106" s="746"/>
      <c r="G106" s="749"/>
      <c r="H106" s="151"/>
      <c r="I106" s="169">
        <f ca="1">OFFSET(Cost_Ingredients!$M$117,$D106,0)</f>
        <v>0</v>
      </c>
      <c r="J106" s="64">
        <v>0</v>
      </c>
      <c r="L106" s="169">
        <f ca="1">OFFSET(Cost_Ingredients!N$117,$D106,0)*$J106</f>
        <v>0</v>
      </c>
      <c r="M106" s="169">
        <f ca="1">OFFSET(Cost_Ingredients!O$117,$D106,0)*$J106</f>
        <v>0</v>
      </c>
      <c r="N106" s="176">
        <f ca="1">OFFSET(Cost_Ingredients!P$117,$D106,0)*$J106</f>
        <v>0</v>
      </c>
      <c r="O106" s="176">
        <f ca="1">OFFSET(Cost_Ingredients!Q$117,$D106,0)*$J106</f>
        <v>0</v>
      </c>
      <c r="P106" s="151"/>
    </row>
    <row r="107" spans="3:16" s="23" customFormat="1">
      <c r="D107" s="746">
        <v>1</v>
      </c>
      <c r="E107" s="746"/>
      <c r="F107" s="746"/>
      <c r="G107" s="749"/>
      <c r="H107" s="172"/>
      <c r="I107" s="169">
        <f ca="1">OFFSET(Cost_Ingredients!$M$117,$D107,0)</f>
        <v>0</v>
      </c>
      <c r="J107" s="173">
        <v>0</v>
      </c>
      <c r="L107" s="169">
        <f ca="1">OFFSET(Cost_Ingredients!N$117,$D107,0)*$J107</f>
        <v>0</v>
      </c>
      <c r="M107" s="169">
        <f ca="1">OFFSET(Cost_Ingredients!O$117,$D107,0)*$J107</f>
        <v>0</v>
      </c>
      <c r="N107" s="176">
        <f ca="1">OFFSET(Cost_Ingredients!P$117,$D107,0)*$J107</f>
        <v>0</v>
      </c>
      <c r="O107" s="176">
        <f ca="1">OFFSET(Cost_Ingredients!Q$117,$D107,0)*$J107</f>
        <v>0</v>
      </c>
      <c r="P107" s="172"/>
    </row>
    <row r="108" spans="3:16" s="23" customFormat="1" ht="15" thickBot="1">
      <c r="D108" s="759" t="s">
        <v>161</v>
      </c>
      <c r="E108" s="759"/>
      <c r="F108" s="759"/>
      <c r="G108" s="759"/>
      <c r="H108" s="157"/>
      <c r="I108" s="177">
        <f ca="1">SUM(I98:I107)</f>
        <v>0</v>
      </c>
      <c r="J108" s="177">
        <f>SUM(J98:J107)</f>
        <v>40</v>
      </c>
      <c r="L108" s="24">
        <f t="shared" ref="L108:O108" ca="1" si="2">SUM(L98:L107)</f>
        <v>40</v>
      </c>
      <c r="M108" s="24">
        <f t="shared" ca="1" si="2"/>
        <v>240</v>
      </c>
      <c r="N108" s="25">
        <f t="shared" ca="1" si="2"/>
        <v>0.26666666666666666</v>
      </c>
      <c r="O108" s="25">
        <f t="shared" ca="1" si="2"/>
        <v>1.6</v>
      </c>
      <c r="P108" s="157"/>
    </row>
    <row r="109" spans="3:16">
      <c r="K109" s="23"/>
    </row>
    <row r="110" spans="3:16">
      <c r="C110" s="153" t="str">
        <f>FLU_LU!$D$281</f>
        <v>Other Direct Costs (Recurrent)</v>
      </c>
      <c r="K110" s="23"/>
    </row>
    <row r="111" spans="3:16" ht="28.8">
      <c r="D111" s="733" t="s">
        <v>100</v>
      </c>
      <c r="E111" s="733"/>
      <c r="F111" s="733"/>
      <c r="G111" s="733"/>
      <c r="H111" s="72" t="s">
        <v>101</v>
      </c>
      <c r="I111" s="152" t="s">
        <v>63</v>
      </c>
      <c r="J111" s="152" t="s">
        <v>67</v>
      </c>
      <c r="K111" s="23"/>
      <c r="L111" s="28" t="str">
        <f>"Financial Price ("&amp;FLU_LU!$D$79&amp;")"</f>
        <v>Financial Price (GOZ)</v>
      </c>
      <c r="M111" s="28" t="str">
        <f>"Economic Price ("&amp;FLU_LU!$D$79&amp;")"</f>
        <v>Economic Price (GOZ)</v>
      </c>
      <c r="N111" s="28" t="str">
        <f>"Financial Price ("&amp;FLU_LU!$D$78&amp;")"</f>
        <v>Financial Price (USD)</v>
      </c>
      <c r="O111" s="28" t="str">
        <f>"Economic Price ("&amp;FLU_LU!$D$78&amp;")"</f>
        <v>Economic Price (USD)</v>
      </c>
      <c r="P111" s="152" t="s">
        <v>68</v>
      </c>
    </row>
    <row r="112" spans="3:16" s="23" customFormat="1">
      <c r="D112" s="746">
        <v>1</v>
      </c>
      <c r="E112" s="746"/>
      <c r="F112" s="746"/>
      <c r="G112" s="749"/>
      <c r="H112" s="151"/>
      <c r="I112" s="169">
        <f ca="1">OFFSET(Cost_Ingredients!$M$146,$D112,0)</f>
        <v>0</v>
      </c>
      <c r="J112" s="64">
        <v>4</v>
      </c>
      <c r="L112" s="169">
        <f ca="1">OFFSET(Cost_Ingredients!N$146,$D112,0)*$J112</f>
        <v>0</v>
      </c>
      <c r="M112" s="169">
        <f ca="1">OFFSET(Cost_Ingredients!O$146,$D112,0)*$J112</f>
        <v>0</v>
      </c>
      <c r="N112" s="176">
        <f ca="1">OFFSET(Cost_Ingredients!P$146,$D112,0)*$J112</f>
        <v>0</v>
      </c>
      <c r="O112" s="176">
        <f ca="1">OFFSET(Cost_Ingredients!Q$146,$D112,0)*$J112</f>
        <v>0</v>
      </c>
      <c r="P112" s="151"/>
    </row>
    <row r="113" spans="3:16" s="23" customFormat="1">
      <c r="D113" s="746">
        <v>1</v>
      </c>
      <c r="E113" s="746"/>
      <c r="F113" s="746"/>
      <c r="G113" s="749"/>
      <c r="H113" s="151"/>
      <c r="I113" s="169">
        <f ca="1">OFFSET(Cost_Ingredients!$M$146,$D113,0)</f>
        <v>0</v>
      </c>
      <c r="J113" s="64">
        <v>4</v>
      </c>
      <c r="L113" s="169">
        <f ca="1">OFFSET(Cost_Ingredients!N$146,$D113,0)*$J113</f>
        <v>0</v>
      </c>
      <c r="M113" s="169">
        <f ca="1">OFFSET(Cost_Ingredients!O$146,$D113,0)*$J113</f>
        <v>0</v>
      </c>
      <c r="N113" s="176">
        <f ca="1">OFFSET(Cost_Ingredients!P$146,$D113,0)*$J113</f>
        <v>0</v>
      </c>
      <c r="O113" s="176">
        <f ca="1">OFFSET(Cost_Ingredients!Q$146,$D113,0)*$J113</f>
        <v>0</v>
      </c>
      <c r="P113" s="151"/>
    </row>
    <row r="114" spans="3:16" s="23" customFormat="1">
      <c r="D114" s="746">
        <v>1</v>
      </c>
      <c r="E114" s="746"/>
      <c r="F114" s="746"/>
      <c r="G114" s="749"/>
      <c r="H114" s="151"/>
      <c r="I114" s="169">
        <f ca="1">OFFSET(Cost_Ingredients!$M$146,$D114,0)</f>
        <v>0</v>
      </c>
      <c r="J114" s="64">
        <v>0</v>
      </c>
      <c r="L114" s="169">
        <f ca="1">OFFSET(Cost_Ingredients!N$146,$D114,0)*$J114</f>
        <v>0</v>
      </c>
      <c r="M114" s="169">
        <f ca="1">OFFSET(Cost_Ingredients!O$146,$D114,0)*$J114</f>
        <v>0</v>
      </c>
      <c r="N114" s="176">
        <f ca="1">OFFSET(Cost_Ingredients!P$146,$D114,0)*$J114</f>
        <v>0</v>
      </c>
      <c r="O114" s="176">
        <f ca="1">OFFSET(Cost_Ingredients!Q$146,$D114,0)*$J114</f>
        <v>0</v>
      </c>
      <c r="P114" s="151"/>
    </row>
    <row r="115" spans="3:16" s="23" customFormat="1">
      <c r="D115" s="746">
        <v>1</v>
      </c>
      <c r="E115" s="746"/>
      <c r="F115" s="746"/>
      <c r="G115" s="749"/>
      <c r="H115" s="151"/>
      <c r="I115" s="169">
        <f ca="1">OFFSET(Cost_Ingredients!$M$146,$D115,0)</f>
        <v>0</v>
      </c>
      <c r="J115" s="64">
        <v>0</v>
      </c>
      <c r="L115" s="169">
        <f ca="1">OFFSET(Cost_Ingredients!N$146,$D115,0)*$J115</f>
        <v>0</v>
      </c>
      <c r="M115" s="169">
        <f ca="1">OFFSET(Cost_Ingredients!O$146,$D115,0)*$J115</f>
        <v>0</v>
      </c>
      <c r="N115" s="176">
        <f ca="1">OFFSET(Cost_Ingredients!P$146,$D115,0)*$J115</f>
        <v>0</v>
      </c>
      <c r="O115" s="176">
        <f ca="1">OFFSET(Cost_Ingredients!Q$146,$D115,0)*$J115</f>
        <v>0</v>
      </c>
      <c r="P115" s="151"/>
    </row>
    <row r="116" spans="3:16" s="23" customFormat="1">
      <c r="D116" s="746">
        <v>1</v>
      </c>
      <c r="E116" s="746"/>
      <c r="F116" s="746"/>
      <c r="G116" s="749"/>
      <c r="H116" s="151"/>
      <c r="I116" s="169">
        <f ca="1">OFFSET(Cost_Ingredients!$M$146,$D116,0)</f>
        <v>0</v>
      </c>
      <c r="J116" s="64">
        <v>0</v>
      </c>
      <c r="L116" s="169">
        <f ca="1">OFFSET(Cost_Ingredients!N$146,$D116,0)*$J116</f>
        <v>0</v>
      </c>
      <c r="M116" s="169">
        <f ca="1">OFFSET(Cost_Ingredients!O$146,$D116,0)*$J116</f>
        <v>0</v>
      </c>
      <c r="N116" s="176">
        <f ca="1">OFFSET(Cost_Ingredients!P$146,$D116,0)*$J116</f>
        <v>0</v>
      </c>
      <c r="O116" s="176">
        <f ca="1">OFFSET(Cost_Ingredients!Q$146,$D116,0)*$J116</f>
        <v>0</v>
      </c>
      <c r="P116" s="151"/>
    </row>
    <row r="117" spans="3:16" s="23" customFormat="1">
      <c r="D117" s="746">
        <v>1</v>
      </c>
      <c r="E117" s="746"/>
      <c r="F117" s="746"/>
      <c r="G117" s="749"/>
      <c r="H117" s="151"/>
      <c r="I117" s="169">
        <f ca="1">OFFSET(Cost_Ingredients!$M$146,$D117,0)</f>
        <v>0</v>
      </c>
      <c r="J117" s="64">
        <v>0</v>
      </c>
      <c r="L117" s="169">
        <f ca="1">OFFSET(Cost_Ingredients!N$146,$D117,0)*$J117</f>
        <v>0</v>
      </c>
      <c r="M117" s="169">
        <f ca="1">OFFSET(Cost_Ingredients!O$146,$D117,0)*$J117</f>
        <v>0</v>
      </c>
      <c r="N117" s="176">
        <f ca="1">OFFSET(Cost_Ingredients!P$146,$D117,0)*$J117</f>
        <v>0</v>
      </c>
      <c r="O117" s="176">
        <f ca="1">OFFSET(Cost_Ingredients!Q$146,$D117,0)*$J117</f>
        <v>0</v>
      </c>
      <c r="P117" s="151"/>
    </row>
    <row r="118" spans="3:16" s="23" customFormat="1">
      <c r="D118" s="746">
        <v>1</v>
      </c>
      <c r="E118" s="746"/>
      <c r="F118" s="746"/>
      <c r="G118" s="749"/>
      <c r="H118" s="172"/>
      <c r="I118" s="169">
        <f ca="1">OFFSET(Cost_Ingredients!$M$146,$D118,0)</f>
        <v>0</v>
      </c>
      <c r="J118" s="173">
        <v>0</v>
      </c>
      <c r="L118" s="169">
        <f ca="1">OFFSET(Cost_Ingredients!N$146,$D118,0)*$J118</f>
        <v>0</v>
      </c>
      <c r="M118" s="169">
        <f ca="1">OFFSET(Cost_Ingredients!O$146,$D118,0)*$J118</f>
        <v>0</v>
      </c>
      <c r="N118" s="176">
        <f ca="1">OFFSET(Cost_Ingredients!P$146,$D118,0)*$J118</f>
        <v>0</v>
      </c>
      <c r="O118" s="176">
        <f ca="1">OFFSET(Cost_Ingredients!Q$146,$D118,0)*$J118</f>
        <v>0</v>
      </c>
      <c r="P118" s="172"/>
    </row>
    <row r="119" spans="3:16" s="23" customFormat="1" ht="15" thickBot="1">
      <c r="D119" s="759" t="s">
        <v>161</v>
      </c>
      <c r="E119" s="759"/>
      <c r="F119" s="759"/>
      <c r="G119" s="759"/>
      <c r="H119" s="157"/>
      <c r="I119" s="177">
        <f ca="1">SUM(I112:I118)</f>
        <v>0</v>
      </c>
      <c r="J119" s="71"/>
      <c r="L119" s="24">
        <f ca="1">SUM(L112:L118)</f>
        <v>0</v>
      </c>
      <c r="M119" s="24">
        <f ca="1">SUM(M112:M118)</f>
        <v>0</v>
      </c>
      <c r="N119" s="25">
        <f ca="1">SUM(N112:N118)</f>
        <v>0</v>
      </c>
      <c r="O119" s="25">
        <f ca="1">SUM(O112:O118)</f>
        <v>0</v>
      </c>
      <c r="P119" s="157"/>
    </row>
    <row r="120" spans="3:16">
      <c r="K120" s="23"/>
    </row>
    <row r="121" spans="3:16" ht="15" thickBot="1">
      <c r="C121" s="70" t="str">
        <f>"Total "&amp;C72</f>
        <v xml:space="preserve">Total Detailed Cost Estimate: National press release for Health Care Worker vaccination </v>
      </c>
      <c r="K121" s="23"/>
      <c r="L121" s="57">
        <f ca="1">SUM(L84,L94,L108,L119)</f>
        <v>33040</v>
      </c>
      <c r="M121" s="57">
        <f ca="1">SUM(M84,M94,M108,M119)</f>
        <v>33240</v>
      </c>
      <c r="N121" s="58">
        <f ca="1">SUM(N84,N94,N108,N119)</f>
        <v>220.26666666666668</v>
      </c>
      <c r="O121" s="58">
        <f ca="1">SUM(O84,O94,O108,O119)</f>
        <v>221.6</v>
      </c>
    </row>
    <row r="122" spans="3:16" ht="15" thickTop="1">
      <c r="K122" s="23"/>
    </row>
    <row r="123" spans="3:16" s="23" customFormat="1"/>
    <row r="124" spans="3:16" s="23" customFormat="1" ht="15.6">
      <c r="C124" s="171" t="str">
        <f>"Detailed Cost Estimate: "&amp;FLU_LU!$D$343</f>
        <v>Detailed Cost Estimate: Media appearances/ interviews  on National  TV and Radio</v>
      </c>
    </row>
    <row r="125" spans="3:16">
      <c r="C125" s="23"/>
      <c r="K125" s="23"/>
    </row>
    <row r="126" spans="3:16">
      <c r="F126" s="152" t="s">
        <v>691</v>
      </c>
      <c r="H126" s="765" t="str">
        <f>IEC!$G$18</f>
        <v>1 media appearance/ interview completed on nonpaid media</v>
      </c>
      <c r="I126" s="766"/>
      <c r="J126" s="766"/>
      <c r="K126" s="766"/>
      <c r="L126" s="766"/>
      <c r="M126" s="766"/>
      <c r="N126" s="766"/>
      <c r="O126" s="766"/>
      <c r="P126" s="766"/>
    </row>
    <row r="127" spans="3:16" s="23" customFormat="1"/>
    <row r="128" spans="3:16">
      <c r="K128" s="23"/>
      <c r="M128" s="23"/>
      <c r="N128" s="23"/>
      <c r="O128" s="23"/>
    </row>
    <row r="129" spans="3:16">
      <c r="C129" s="160" t="str">
        <f>FLU_LU!$D$278</f>
        <v xml:space="preserve">Personnel </v>
      </c>
      <c r="K129" s="23"/>
    </row>
    <row r="130" spans="3:16" ht="43.2">
      <c r="D130" s="733" t="s">
        <v>100</v>
      </c>
      <c r="E130" s="733"/>
      <c r="F130" s="733"/>
      <c r="G130" s="733"/>
      <c r="H130" s="142" t="s">
        <v>274</v>
      </c>
      <c r="I130" s="72" t="s">
        <v>474</v>
      </c>
      <c r="J130" s="152" t="s">
        <v>67</v>
      </c>
      <c r="K130" s="72" t="s">
        <v>475</v>
      </c>
      <c r="L130" s="28" t="str">
        <f>"Financial Price ("&amp;FLU_LU!$D$79&amp;")"</f>
        <v>Financial Price (GOZ)</v>
      </c>
      <c r="M130" s="28" t="str">
        <f>"Economic Price ("&amp;FLU_LU!$D$79&amp;")"</f>
        <v>Economic Price (GOZ)</v>
      </c>
      <c r="N130" s="28" t="str">
        <f>"Financial Price ("&amp;FLU_LU!$D$78&amp;")"</f>
        <v>Financial Price (USD)</v>
      </c>
      <c r="O130" s="28" t="str">
        <f>"Economic Price ("&amp;FLU_LU!$D$78&amp;")"</f>
        <v>Economic Price (USD)</v>
      </c>
      <c r="P130" s="152" t="s">
        <v>68</v>
      </c>
    </row>
    <row r="131" spans="3:16" s="23" customFormat="1">
      <c r="D131" s="746">
        <v>2</v>
      </c>
      <c r="E131" s="746"/>
      <c r="F131" s="746"/>
      <c r="G131" s="749"/>
      <c r="H131" s="151"/>
      <c r="I131" s="31">
        <v>1</v>
      </c>
      <c r="J131" s="64">
        <v>4</v>
      </c>
      <c r="K131" s="135">
        <f t="shared" ref="K131:K136" si="3">IF(I131=1,J131/FLU_DAYS_PER_MONTH,IF(I131=2,J131/FLU_HOURS_PER_MONTH,J131/FLU_MINUTES_PER_MONTH))</f>
        <v>0.18181818181818182</v>
      </c>
      <c r="L131" s="169">
        <f ca="1">OFFSET(Cost_Ingredients!$N$73,DD_FLU_SOCMOB_C_GROUP_B_1,0)*$K131</f>
        <v>0</v>
      </c>
      <c r="M131" s="169">
        <f ca="1">OFFSET(Cost_Ingredients!$O$73,DD_FLU_SOCMOB_C_GROUP_B_1,0)*$K131</f>
        <v>0</v>
      </c>
      <c r="N131" s="179">
        <f ca="1">OFFSET(Cost_Ingredients!$P$73,DD_FLU_SOCMOB_C_GROUP_B_1,0)*$K131</f>
        <v>0</v>
      </c>
      <c r="O131" s="179">
        <f ca="1">OFFSET(Cost_Ingredients!$Q$73,DD_FLU_SOCMOB_C_GROUP_B_1,0)*$K131</f>
        <v>0</v>
      </c>
      <c r="P131" s="158"/>
    </row>
    <row r="132" spans="3:16" s="23" customFormat="1">
      <c r="D132" s="746">
        <v>1</v>
      </c>
      <c r="E132" s="746"/>
      <c r="F132" s="746"/>
      <c r="G132" s="749"/>
      <c r="H132" s="151"/>
      <c r="I132" s="31">
        <v>1</v>
      </c>
      <c r="J132" s="64">
        <v>6</v>
      </c>
      <c r="K132" s="135">
        <f t="shared" si="3"/>
        <v>0.27272727272727271</v>
      </c>
      <c r="L132" s="169">
        <f ca="1">OFFSET(Cost_Ingredients!$N$73,DD_FLU_SOCMOB_C_GROUP_B_2,0)*$K132</f>
        <v>0</v>
      </c>
      <c r="M132" s="169">
        <f ca="1">OFFSET(Cost_Ingredients!$O$73,DD_FLU_SOCMOB_C_GROUP_B_2,0)*$K132</f>
        <v>0</v>
      </c>
      <c r="N132" s="179">
        <f ca="1">OFFSET(Cost_Ingredients!$P$73,DD_FLU_SOCMOB_C_GROUP_B_2,0)*$K132</f>
        <v>0</v>
      </c>
      <c r="O132" s="179">
        <f ca="1">OFFSET(Cost_Ingredients!$Q$73,DD_FLU_SOCMOB_C_GROUP_B_2,0)*$K132</f>
        <v>0</v>
      </c>
      <c r="P132" s="158"/>
    </row>
    <row r="133" spans="3:16" s="23" customFormat="1">
      <c r="D133" s="746">
        <v>1</v>
      </c>
      <c r="E133" s="746"/>
      <c r="F133" s="746"/>
      <c r="G133" s="749"/>
      <c r="H133" s="151"/>
      <c r="I133" s="31">
        <v>1</v>
      </c>
      <c r="J133" s="64">
        <v>0</v>
      </c>
      <c r="K133" s="135">
        <f t="shared" si="3"/>
        <v>0</v>
      </c>
      <c r="L133" s="169">
        <f ca="1">OFFSET(Cost_Ingredients!$N$73,DD_FLU_SOCMOB_C_GROUP_B_3,0)*$K133</f>
        <v>0</v>
      </c>
      <c r="M133" s="169">
        <f ca="1">OFFSET(Cost_Ingredients!$O$73,DD_FLU_SOCMOB_C_GROUP_B_3,0)*$K133</f>
        <v>0</v>
      </c>
      <c r="N133" s="179">
        <f ca="1">OFFSET(Cost_Ingredients!$P$73,DD_FLU_SOCMOB_C_GROUP_B_3,0)*$K133</f>
        <v>0</v>
      </c>
      <c r="O133" s="179">
        <f ca="1">OFFSET(Cost_Ingredients!$Q$73,DD_FLU_SOCMOB_C_GROUP_B_3,0)*$K133</f>
        <v>0</v>
      </c>
      <c r="P133" s="158"/>
    </row>
    <row r="134" spans="3:16" s="23" customFormat="1">
      <c r="D134" s="746">
        <v>1</v>
      </c>
      <c r="E134" s="746"/>
      <c r="F134" s="746"/>
      <c r="G134" s="749"/>
      <c r="H134" s="151"/>
      <c r="I134" s="31">
        <v>1</v>
      </c>
      <c r="J134" s="64">
        <v>0</v>
      </c>
      <c r="K134" s="135">
        <f t="shared" si="3"/>
        <v>0</v>
      </c>
      <c r="L134" s="169">
        <f ca="1">OFFSET(Cost_Ingredients!$N$73,DD_FLU_SOCMOB_C_GROUP_B_4,0)*$K134</f>
        <v>0</v>
      </c>
      <c r="M134" s="169">
        <f ca="1">OFFSET(Cost_Ingredients!$O$73,DD_FLU_SOCMOB_C_GROUP_B_4,0)*$K134</f>
        <v>0</v>
      </c>
      <c r="N134" s="179">
        <f ca="1">OFFSET(Cost_Ingredients!$P$73,DD_FLU_SOCMOB_C_GROUP_B_4,0)*$K134</f>
        <v>0</v>
      </c>
      <c r="O134" s="179">
        <f ca="1">OFFSET(Cost_Ingredients!$Q$73,DD_FLU_SOCMOB_C_GROUP_B_4,0)*$K134</f>
        <v>0</v>
      </c>
      <c r="P134" s="158"/>
    </row>
    <row r="135" spans="3:16" s="23" customFormat="1">
      <c r="D135" s="746">
        <v>1</v>
      </c>
      <c r="E135" s="746"/>
      <c r="F135" s="746"/>
      <c r="G135" s="749"/>
      <c r="H135" s="151"/>
      <c r="I135" s="31">
        <v>1</v>
      </c>
      <c r="J135" s="64">
        <v>7</v>
      </c>
      <c r="K135" s="135">
        <f t="shared" si="3"/>
        <v>0.31818181818181818</v>
      </c>
      <c r="L135" s="169">
        <f ca="1">OFFSET(Cost_Ingredients!$N$73,DD_FLU_SOCMOB_C_GROUP_B_5,0)*$K135</f>
        <v>0</v>
      </c>
      <c r="M135" s="169">
        <f ca="1">OFFSET(Cost_Ingredients!$O$73,DD_FLU_SOCMOB_C_GROUP_B_5,0)*$K135</f>
        <v>0</v>
      </c>
      <c r="N135" s="179">
        <f ca="1">OFFSET(Cost_Ingredients!$P$73,DD_FLU_SOCMOB_C_GROUP_B_5,0)*$K135</f>
        <v>0</v>
      </c>
      <c r="O135" s="179">
        <f ca="1">OFFSET(Cost_Ingredients!$Q$73,DD_FLU_SOCMOB_C_GROUP_B_5,0)*$K135</f>
        <v>0</v>
      </c>
      <c r="P135" s="158"/>
    </row>
    <row r="136" spans="3:16" s="23" customFormat="1">
      <c r="D136" s="746">
        <v>1</v>
      </c>
      <c r="E136" s="746"/>
      <c r="F136" s="746"/>
      <c r="G136" s="749"/>
      <c r="H136" s="172"/>
      <c r="I136" s="31">
        <v>1</v>
      </c>
      <c r="J136" s="173">
        <v>0</v>
      </c>
      <c r="K136" s="135">
        <f t="shared" si="3"/>
        <v>0</v>
      </c>
      <c r="L136" s="169">
        <f ca="1">OFFSET(Cost_Ingredients!$N$73,DD_FLU_SOCMOB_C_GROUP_B_6,0)*$K136</f>
        <v>0</v>
      </c>
      <c r="M136" s="169">
        <f ca="1">OFFSET(Cost_Ingredients!$O$73,DD_FLU_SOCMOB_C_GROUP_B_6,0)*$K136</f>
        <v>0</v>
      </c>
      <c r="N136" s="179">
        <f ca="1">OFFSET(Cost_Ingredients!$P$73,DD_FLU_SOCMOB_C_GROUP_B_6,0)*$K136</f>
        <v>0</v>
      </c>
      <c r="O136" s="179">
        <f ca="1">OFFSET(Cost_Ingredients!$Q$73,DD_FLU_SOCMOB_C_GROUP_B_6,0)*$K136</f>
        <v>0</v>
      </c>
      <c r="P136" s="174"/>
    </row>
    <row r="137" spans="3:16" s="23" customFormat="1" ht="15" thickBot="1">
      <c r="D137" s="759" t="s">
        <v>161</v>
      </c>
      <c r="E137" s="759"/>
      <c r="F137" s="759"/>
      <c r="G137" s="759"/>
      <c r="H137" s="157"/>
      <c r="J137" s="71"/>
      <c r="K137" s="162">
        <f>SUM(K131:K136)</f>
        <v>0.77272727272727271</v>
      </c>
      <c r="L137" s="24">
        <f ca="1">SUM(L131:L136)</f>
        <v>0</v>
      </c>
      <c r="M137" s="182">
        <f ca="1">SUM(M131:M136)</f>
        <v>0</v>
      </c>
      <c r="N137" s="198">
        <f ca="1">SUM(N131:N136)</f>
        <v>0</v>
      </c>
      <c r="O137" s="198">
        <f ca="1">SUM(O131:O136)</f>
        <v>0</v>
      </c>
      <c r="P137" s="157"/>
    </row>
    <row r="138" spans="3:16">
      <c r="K138" s="23"/>
    </row>
    <row r="139" spans="3:16">
      <c r="C139" s="153" t="str">
        <f>FLU_LU!$D$279</f>
        <v>Allowances</v>
      </c>
      <c r="K139" s="23"/>
    </row>
    <row r="140" spans="3:16" ht="28.8">
      <c r="D140" s="733" t="s">
        <v>100</v>
      </c>
      <c r="E140" s="733"/>
      <c r="F140" s="733"/>
      <c r="G140" s="733"/>
      <c r="H140" s="763" t="s">
        <v>101</v>
      </c>
      <c r="I140" s="763"/>
      <c r="J140" s="152" t="s">
        <v>67</v>
      </c>
      <c r="K140" s="23"/>
      <c r="L140" s="28" t="str">
        <f>"Financial Price ("&amp;FLU_LU!$D$79&amp;")"</f>
        <v>Financial Price (GOZ)</v>
      </c>
      <c r="M140" s="28" t="str">
        <f>"Economic Price ("&amp;FLU_LU!$D$79&amp;")"</f>
        <v>Economic Price (GOZ)</v>
      </c>
      <c r="N140" s="28" t="str">
        <f>"Financial Price ("&amp;FLU_LU!$D$78&amp;")"</f>
        <v>Financial Price (USD)</v>
      </c>
      <c r="O140" s="28" t="str">
        <f>"Economic Price ("&amp;FLU_LU!$D$78&amp;")"</f>
        <v>Economic Price (USD)</v>
      </c>
      <c r="P140" s="152" t="s">
        <v>68</v>
      </c>
    </row>
    <row r="141" spans="3:16" s="23" customFormat="1">
      <c r="D141" s="746">
        <v>2</v>
      </c>
      <c r="E141" s="746"/>
      <c r="F141" s="746"/>
      <c r="G141" s="749"/>
      <c r="H141" s="667"/>
      <c r="I141" s="667"/>
      <c r="J141" s="64">
        <v>4</v>
      </c>
      <c r="L141" s="169">
        <f ca="1">OFFSET(Cost_Ingredients!N$103,$D141,0)*$J141</f>
        <v>22000</v>
      </c>
      <c r="M141" s="169">
        <f ca="1">OFFSET(Cost_Ingredients!O$103,$D141,0)*$J141</f>
        <v>22000</v>
      </c>
      <c r="N141" s="176">
        <f ca="1">OFFSET(Cost_Ingredients!P$103,$D141,0)*$J141</f>
        <v>146.66666666666666</v>
      </c>
      <c r="O141" s="176">
        <f ca="1">OFFSET(Cost_Ingredients!Q$103,$D141,0)*$J141</f>
        <v>146.66666666666666</v>
      </c>
      <c r="P141" s="151"/>
    </row>
    <row r="142" spans="3:16" s="23" customFormat="1">
      <c r="D142" s="746">
        <v>1</v>
      </c>
      <c r="E142" s="746"/>
      <c r="F142" s="746"/>
      <c r="G142" s="749"/>
      <c r="H142" s="667"/>
      <c r="I142" s="667"/>
      <c r="J142" s="64"/>
      <c r="L142" s="169">
        <f ca="1">OFFSET(Cost_Ingredients!N$103,$D142,0)*$J142</f>
        <v>0</v>
      </c>
      <c r="M142" s="169">
        <f ca="1">OFFSET(Cost_Ingredients!O$103,$D142,0)*$J142</f>
        <v>0</v>
      </c>
      <c r="N142" s="176">
        <f ca="1">OFFSET(Cost_Ingredients!P$103,$D142,0)*$J142</f>
        <v>0</v>
      </c>
      <c r="O142" s="176">
        <f ca="1">OFFSET(Cost_Ingredients!Q$103,$D142,0)*$J142</f>
        <v>0</v>
      </c>
      <c r="P142" s="151"/>
    </row>
    <row r="143" spans="3:16" s="23" customFormat="1">
      <c r="D143" s="746">
        <v>1</v>
      </c>
      <c r="E143" s="746"/>
      <c r="F143" s="746"/>
      <c r="G143" s="749"/>
      <c r="H143" s="667"/>
      <c r="I143" s="667"/>
      <c r="J143" s="64"/>
      <c r="L143" s="169">
        <f ca="1">OFFSET(Cost_Ingredients!N$103,$D143,0)*$J143</f>
        <v>0</v>
      </c>
      <c r="M143" s="169">
        <f ca="1">OFFSET(Cost_Ingredients!O$103,$D143,0)*$J143</f>
        <v>0</v>
      </c>
      <c r="N143" s="176">
        <f ca="1">OFFSET(Cost_Ingredients!P$103,$D143,0)*$J143</f>
        <v>0</v>
      </c>
      <c r="O143" s="176">
        <f ca="1">OFFSET(Cost_Ingredients!Q$103,$D143,0)*$J143</f>
        <v>0</v>
      </c>
      <c r="P143" s="151"/>
    </row>
    <row r="144" spans="3:16" s="23" customFormat="1">
      <c r="D144" s="746">
        <v>1</v>
      </c>
      <c r="E144" s="746"/>
      <c r="F144" s="746"/>
      <c r="G144" s="749"/>
      <c r="H144" s="667"/>
      <c r="I144" s="667"/>
      <c r="J144" s="64"/>
      <c r="L144" s="169">
        <f ca="1">OFFSET(Cost_Ingredients!N$103,$D144,0)*$J144</f>
        <v>0</v>
      </c>
      <c r="M144" s="169">
        <f ca="1">OFFSET(Cost_Ingredients!O$103,$D144,0)*$J144</f>
        <v>0</v>
      </c>
      <c r="N144" s="176">
        <f ca="1">OFFSET(Cost_Ingredients!P$103,$D144,0)*$J144</f>
        <v>0</v>
      </c>
      <c r="O144" s="176">
        <f ca="1">OFFSET(Cost_Ingredients!Q$103,$D144,0)*$J144</f>
        <v>0</v>
      </c>
      <c r="P144" s="151"/>
    </row>
    <row r="145" spans="3:16" s="23" customFormat="1">
      <c r="D145" s="746">
        <v>1</v>
      </c>
      <c r="E145" s="746"/>
      <c r="F145" s="746"/>
      <c r="G145" s="749"/>
      <c r="H145" s="667"/>
      <c r="I145" s="667"/>
      <c r="J145" s="64"/>
      <c r="L145" s="169">
        <f ca="1">OFFSET(Cost_Ingredients!N$103,$D145,0)*$J145</f>
        <v>0</v>
      </c>
      <c r="M145" s="169">
        <f ca="1">OFFSET(Cost_Ingredients!O$103,$D145,0)*$J145</f>
        <v>0</v>
      </c>
      <c r="N145" s="176">
        <f ca="1">OFFSET(Cost_Ingredients!P$103,$D145,0)*$J145</f>
        <v>0</v>
      </c>
      <c r="O145" s="176">
        <f ca="1">OFFSET(Cost_Ingredients!Q$103,$D145,0)*$J145</f>
        <v>0</v>
      </c>
      <c r="P145" s="151"/>
    </row>
    <row r="146" spans="3:16" s="23" customFormat="1">
      <c r="D146" s="746">
        <v>1</v>
      </c>
      <c r="E146" s="746"/>
      <c r="F146" s="746"/>
      <c r="G146" s="749"/>
      <c r="H146" s="745"/>
      <c r="I146" s="745"/>
      <c r="J146" s="173"/>
      <c r="L146" s="169">
        <f ca="1">OFFSET(Cost_Ingredients!N$103,$D146,0)*$J146</f>
        <v>0</v>
      </c>
      <c r="M146" s="169">
        <f ca="1">OFFSET(Cost_Ingredients!O$103,$D146,0)*$J146</f>
        <v>0</v>
      </c>
      <c r="N146" s="176">
        <f ca="1">OFFSET(Cost_Ingredients!P$103,$D146,0)*$J146</f>
        <v>0</v>
      </c>
      <c r="O146" s="176">
        <f ca="1">OFFSET(Cost_Ingredients!Q$103,$D146,0)*$J146</f>
        <v>0</v>
      </c>
      <c r="P146" s="172"/>
    </row>
    <row r="147" spans="3:16" s="23" customFormat="1" ht="15" thickBot="1">
      <c r="D147" s="759" t="s">
        <v>161</v>
      </c>
      <c r="E147" s="759"/>
      <c r="F147" s="759"/>
      <c r="G147" s="759"/>
      <c r="H147" s="157"/>
      <c r="I147" s="157"/>
      <c r="J147" s="71"/>
      <c r="L147" s="24">
        <f ca="1">SUM(L141:L146)</f>
        <v>22000</v>
      </c>
      <c r="M147" s="24">
        <f ca="1">SUM(M141:M146)</f>
        <v>22000</v>
      </c>
      <c r="N147" s="25">
        <f ca="1">SUM(N141:N146)</f>
        <v>146.66666666666666</v>
      </c>
      <c r="O147" s="25">
        <f ca="1">SUM(O141:O146)</f>
        <v>146.66666666666666</v>
      </c>
      <c r="P147" s="157"/>
    </row>
    <row r="148" spans="3:16">
      <c r="K148" s="23"/>
      <c r="L148" s="23"/>
      <c r="M148" s="23"/>
      <c r="N148" s="23"/>
      <c r="O148" s="23"/>
    </row>
    <row r="149" spans="3:16">
      <c r="C149" s="153" t="str">
        <f>FLU_LU!$D$280</f>
        <v>Supplies &amp; Materials</v>
      </c>
      <c r="K149" s="23"/>
    </row>
    <row r="150" spans="3:16" ht="28.8">
      <c r="D150" s="733" t="s">
        <v>100</v>
      </c>
      <c r="E150" s="733"/>
      <c r="F150" s="733"/>
      <c r="G150" s="733"/>
      <c r="H150" s="72" t="s">
        <v>101</v>
      </c>
      <c r="I150" s="152" t="s">
        <v>63</v>
      </c>
      <c r="J150" s="152" t="s">
        <v>67</v>
      </c>
      <c r="K150" s="23"/>
      <c r="L150" s="28" t="str">
        <f>"Financial Price ("&amp;FLU_LU!$D$79&amp;")"</f>
        <v>Financial Price (GOZ)</v>
      </c>
      <c r="M150" s="28" t="str">
        <f>"Economic Price ("&amp;FLU_LU!$D$79&amp;")"</f>
        <v>Economic Price (GOZ)</v>
      </c>
      <c r="N150" s="28" t="str">
        <f>"Financial Price ("&amp;FLU_LU!$D$78&amp;")"</f>
        <v>Financial Price (USD)</v>
      </c>
      <c r="O150" s="28" t="str">
        <f>"Economic Price ("&amp;FLU_LU!$D$78&amp;")"</f>
        <v>Economic Price (USD)</v>
      </c>
      <c r="P150" s="152" t="s">
        <v>68</v>
      </c>
    </row>
    <row r="151" spans="3:16" s="23" customFormat="1">
      <c r="D151" s="746">
        <v>3</v>
      </c>
      <c r="E151" s="746"/>
      <c r="F151" s="746"/>
      <c r="G151" s="749"/>
      <c r="H151" s="151"/>
      <c r="I151" s="169" t="str">
        <f ca="1">OFFSET(Cost_Ingredients!$M$117,$D151,0)</f>
        <v>pz</v>
      </c>
      <c r="J151" s="64">
        <v>3</v>
      </c>
      <c r="L151" s="169">
        <f ca="1">OFFSET(Cost_Ingredients!N$117,$D151,0)*$J151</f>
        <v>3</v>
      </c>
      <c r="M151" s="169">
        <f ca="1">OFFSET(Cost_Ingredients!O$117,$D151,0)*$J151</f>
        <v>18</v>
      </c>
      <c r="N151" s="176">
        <f ca="1">OFFSET(Cost_Ingredients!P$117,$D151,0)*$J151</f>
        <v>0.02</v>
      </c>
      <c r="O151" s="176">
        <f ca="1">OFFSET(Cost_Ingredients!Q$117,$D151,0)*$J151</f>
        <v>0.12</v>
      </c>
      <c r="P151" s="151"/>
    </row>
    <row r="152" spans="3:16" s="23" customFormat="1">
      <c r="D152" s="746">
        <v>1</v>
      </c>
      <c r="E152" s="746"/>
      <c r="F152" s="746"/>
      <c r="G152" s="749"/>
      <c r="H152" s="151"/>
      <c r="I152" s="169">
        <f ca="1">OFFSET(Cost_Ingredients!$M$117,$D152,0)</f>
        <v>0</v>
      </c>
      <c r="J152" s="64"/>
      <c r="L152" s="169">
        <f ca="1">OFFSET(Cost_Ingredients!N$117,$D152,0)*$J152</f>
        <v>0</v>
      </c>
      <c r="M152" s="169">
        <f ca="1">OFFSET(Cost_Ingredients!O$117,$D152,0)*$J152</f>
        <v>0</v>
      </c>
      <c r="N152" s="176">
        <f ca="1">OFFSET(Cost_Ingredients!P$117,$D152,0)*$J152</f>
        <v>0</v>
      </c>
      <c r="O152" s="176">
        <f ca="1">OFFSET(Cost_Ingredients!Q$117,$D152,0)*$J152</f>
        <v>0</v>
      </c>
      <c r="P152" s="151"/>
    </row>
    <row r="153" spans="3:16" s="23" customFormat="1">
      <c r="D153" s="746">
        <v>1</v>
      </c>
      <c r="E153" s="746"/>
      <c r="F153" s="746"/>
      <c r="G153" s="749"/>
      <c r="H153" s="151"/>
      <c r="I153" s="169">
        <f ca="1">OFFSET(Cost_Ingredients!$M$117,$D153,0)</f>
        <v>0</v>
      </c>
      <c r="J153" s="64"/>
      <c r="L153" s="169">
        <f ca="1">OFFSET(Cost_Ingredients!N$117,$D153,0)*$J153</f>
        <v>0</v>
      </c>
      <c r="M153" s="169">
        <f ca="1">OFFSET(Cost_Ingredients!O$117,$D153,0)*$J153</f>
        <v>0</v>
      </c>
      <c r="N153" s="176">
        <f ca="1">OFFSET(Cost_Ingredients!P$117,$D153,0)*$J153</f>
        <v>0</v>
      </c>
      <c r="O153" s="176">
        <f ca="1">OFFSET(Cost_Ingredients!Q$117,$D153,0)*$J153</f>
        <v>0</v>
      </c>
      <c r="P153" s="151"/>
    </row>
    <row r="154" spans="3:16" s="23" customFormat="1">
      <c r="D154" s="746">
        <v>1</v>
      </c>
      <c r="E154" s="746"/>
      <c r="F154" s="746"/>
      <c r="G154" s="749"/>
      <c r="H154" s="151"/>
      <c r="I154" s="169">
        <f ca="1">OFFSET(Cost_Ingredients!$M$117,$D154,0)</f>
        <v>0</v>
      </c>
      <c r="J154" s="64"/>
      <c r="L154" s="169">
        <f ca="1">OFFSET(Cost_Ingredients!N$117,$D154,0)*$J154</f>
        <v>0</v>
      </c>
      <c r="M154" s="169">
        <f ca="1">OFFSET(Cost_Ingredients!O$117,$D154,0)*$J154</f>
        <v>0</v>
      </c>
      <c r="N154" s="176">
        <f ca="1">OFFSET(Cost_Ingredients!P$117,$D154,0)*$J154</f>
        <v>0</v>
      </c>
      <c r="O154" s="176">
        <f ca="1">OFFSET(Cost_Ingredients!Q$117,$D154,0)*$J154</f>
        <v>0</v>
      </c>
      <c r="P154" s="151"/>
    </row>
    <row r="155" spans="3:16" s="23" customFormat="1">
      <c r="D155" s="746">
        <v>1</v>
      </c>
      <c r="E155" s="746"/>
      <c r="F155" s="746"/>
      <c r="G155" s="749"/>
      <c r="H155" s="151"/>
      <c r="I155" s="169">
        <f ca="1">OFFSET(Cost_Ingredients!$M$117,$D155,0)</f>
        <v>0</v>
      </c>
      <c r="J155" s="64"/>
      <c r="L155" s="169">
        <f ca="1">OFFSET(Cost_Ingredients!N$117,$D155,0)*$J155</f>
        <v>0</v>
      </c>
      <c r="M155" s="169">
        <f ca="1">OFFSET(Cost_Ingredients!O$117,$D155,0)*$J155</f>
        <v>0</v>
      </c>
      <c r="N155" s="176">
        <f ca="1">OFFSET(Cost_Ingredients!P$117,$D155,0)*$J155</f>
        <v>0</v>
      </c>
      <c r="O155" s="176">
        <f ca="1">OFFSET(Cost_Ingredients!Q$117,$D155,0)*$J155</f>
        <v>0</v>
      </c>
      <c r="P155" s="151"/>
    </row>
    <row r="156" spans="3:16" s="23" customFormat="1">
      <c r="D156" s="746">
        <v>1</v>
      </c>
      <c r="E156" s="746"/>
      <c r="F156" s="746"/>
      <c r="G156" s="749"/>
      <c r="H156" s="151"/>
      <c r="I156" s="169">
        <f ca="1">OFFSET(Cost_Ingredients!$M$117,$D156,0)</f>
        <v>0</v>
      </c>
      <c r="J156" s="64"/>
      <c r="L156" s="169">
        <f ca="1">OFFSET(Cost_Ingredients!N$117,$D156,0)*$J156</f>
        <v>0</v>
      </c>
      <c r="M156" s="169">
        <f ca="1">OFFSET(Cost_Ingredients!O$117,$D156,0)*$J156</f>
        <v>0</v>
      </c>
      <c r="N156" s="176">
        <f ca="1">OFFSET(Cost_Ingredients!P$117,$D156,0)*$J156</f>
        <v>0</v>
      </c>
      <c r="O156" s="176">
        <f ca="1">OFFSET(Cost_Ingredients!Q$117,$D156,0)*$J156</f>
        <v>0</v>
      </c>
      <c r="P156" s="151"/>
    </row>
    <row r="157" spans="3:16" s="23" customFormat="1">
      <c r="D157" s="746">
        <v>1</v>
      </c>
      <c r="E157" s="746"/>
      <c r="F157" s="746"/>
      <c r="G157" s="749"/>
      <c r="H157" s="151"/>
      <c r="I157" s="169">
        <f ca="1">OFFSET(Cost_Ingredients!$M$117,$D157,0)</f>
        <v>0</v>
      </c>
      <c r="J157" s="64">
        <v>0</v>
      </c>
      <c r="L157" s="169">
        <f ca="1">OFFSET(Cost_Ingredients!N$117,$D157,0)*$J157</f>
        <v>0</v>
      </c>
      <c r="M157" s="169">
        <f ca="1">OFFSET(Cost_Ingredients!O$117,$D157,0)*$J157</f>
        <v>0</v>
      </c>
      <c r="N157" s="176">
        <f ca="1">OFFSET(Cost_Ingredients!P$117,$D157,0)*$J157</f>
        <v>0</v>
      </c>
      <c r="O157" s="176">
        <f ca="1">OFFSET(Cost_Ingredients!Q$117,$D157,0)*$J157</f>
        <v>0</v>
      </c>
      <c r="P157" s="151"/>
    </row>
    <row r="158" spans="3:16" s="23" customFormat="1">
      <c r="D158" s="746">
        <v>1</v>
      </c>
      <c r="E158" s="746"/>
      <c r="F158" s="746"/>
      <c r="G158" s="749"/>
      <c r="H158" s="151"/>
      <c r="I158" s="169">
        <f ca="1">OFFSET(Cost_Ingredients!$M$117,$D158,0)</f>
        <v>0</v>
      </c>
      <c r="J158" s="64">
        <v>0</v>
      </c>
      <c r="L158" s="169">
        <f ca="1">OFFSET(Cost_Ingredients!N$117,$D158,0)*$J158</f>
        <v>0</v>
      </c>
      <c r="M158" s="169">
        <f ca="1">OFFSET(Cost_Ingredients!O$117,$D158,0)*$J158</f>
        <v>0</v>
      </c>
      <c r="N158" s="176">
        <f ca="1">OFFSET(Cost_Ingredients!P$117,$D158,0)*$J158</f>
        <v>0</v>
      </c>
      <c r="O158" s="176">
        <f ca="1">OFFSET(Cost_Ingredients!Q$117,$D158,0)*$J158</f>
        <v>0</v>
      </c>
      <c r="P158" s="151"/>
    </row>
    <row r="159" spans="3:16" s="23" customFormat="1">
      <c r="D159" s="746">
        <v>1</v>
      </c>
      <c r="E159" s="746"/>
      <c r="F159" s="746"/>
      <c r="G159" s="749"/>
      <c r="H159" s="151"/>
      <c r="I159" s="169">
        <f ca="1">OFFSET(Cost_Ingredients!$M$117,$D159,0)</f>
        <v>0</v>
      </c>
      <c r="J159" s="64">
        <v>0</v>
      </c>
      <c r="L159" s="169">
        <f ca="1">OFFSET(Cost_Ingredients!N$117,$D159,0)*$J159</f>
        <v>0</v>
      </c>
      <c r="M159" s="169">
        <f ca="1">OFFSET(Cost_Ingredients!O$117,$D159,0)*$J159</f>
        <v>0</v>
      </c>
      <c r="N159" s="176">
        <f ca="1">OFFSET(Cost_Ingredients!P$117,$D159,0)*$J159</f>
        <v>0</v>
      </c>
      <c r="O159" s="176">
        <f ca="1">OFFSET(Cost_Ingredients!Q$117,$D159,0)*$J159</f>
        <v>0</v>
      </c>
      <c r="P159" s="151"/>
    </row>
    <row r="160" spans="3:16" s="23" customFormat="1">
      <c r="D160" s="746">
        <v>1</v>
      </c>
      <c r="E160" s="746"/>
      <c r="F160" s="746"/>
      <c r="G160" s="749"/>
      <c r="H160" s="172"/>
      <c r="I160" s="169">
        <f ca="1">OFFSET(Cost_Ingredients!$M$117,$D160,0)</f>
        <v>0</v>
      </c>
      <c r="J160" s="173">
        <v>0</v>
      </c>
      <c r="L160" s="169">
        <f ca="1">OFFSET(Cost_Ingredients!N$117,$D160,0)*$J160</f>
        <v>0</v>
      </c>
      <c r="M160" s="169">
        <f ca="1">OFFSET(Cost_Ingredients!O$117,$D160,0)*$J160</f>
        <v>0</v>
      </c>
      <c r="N160" s="176">
        <f ca="1">OFFSET(Cost_Ingredients!P$117,$D160,0)*$J160</f>
        <v>0</v>
      </c>
      <c r="O160" s="176">
        <f ca="1">OFFSET(Cost_Ingredients!Q$117,$D160,0)*$J160</f>
        <v>0</v>
      </c>
      <c r="P160" s="172"/>
    </row>
    <row r="161" spans="3:16" s="23" customFormat="1" ht="15" thickBot="1">
      <c r="D161" s="759" t="s">
        <v>161</v>
      </c>
      <c r="E161" s="759"/>
      <c r="F161" s="759"/>
      <c r="G161" s="759"/>
      <c r="H161" s="157"/>
      <c r="I161" s="177">
        <f ca="1">SUM(I151:I160)</f>
        <v>0</v>
      </c>
      <c r="J161" s="177">
        <f>SUM(J151:J160)</f>
        <v>3</v>
      </c>
      <c r="L161" s="24">
        <f t="shared" ref="L161:O161" ca="1" si="4">SUM(L151:L160)</f>
        <v>3</v>
      </c>
      <c r="M161" s="24">
        <f t="shared" ca="1" si="4"/>
        <v>18</v>
      </c>
      <c r="N161" s="25">
        <f t="shared" ca="1" si="4"/>
        <v>0.02</v>
      </c>
      <c r="O161" s="25">
        <f t="shared" ca="1" si="4"/>
        <v>0.12</v>
      </c>
      <c r="P161" s="157"/>
    </row>
    <row r="162" spans="3:16">
      <c r="K162" s="23"/>
    </row>
    <row r="163" spans="3:16">
      <c r="C163" s="153" t="str">
        <f>FLU_LU!$D$281</f>
        <v>Other Direct Costs (Recurrent)</v>
      </c>
      <c r="K163" s="23"/>
    </row>
    <row r="164" spans="3:16" ht="28.8">
      <c r="D164" s="733" t="s">
        <v>100</v>
      </c>
      <c r="E164" s="733"/>
      <c r="F164" s="733"/>
      <c r="G164" s="733"/>
      <c r="H164" s="72" t="s">
        <v>101</v>
      </c>
      <c r="I164" s="152" t="s">
        <v>63</v>
      </c>
      <c r="J164" s="152" t="s">
        <v>67</v>
      </c>
      <c r="K164" s="23"/>
      <c r="L164" s="28" t="str">
        <f>"Financial Price ("&amp;FLU_LU!$D$79&amp;")"</f>
        <v>Financial Price (GOZ)</v>
      </c>
      <c r="M164" s="28" t="str">
        <f>"Economic Price ("&amp;FLU_LU!$D$79&amp;")"</f>
        <v>Economic Price (GOZ)</v>
      </c>
      <c r="N164" s="28" t="str">
        <f>"Financial Price ("&amp;FLU_LU!$D$78&amp;")"</f>
        <v>Financial Price (USD)</v>
      </c>
      <c r="O164" s="28" t="str">
        <f>"Economic Price ("&amp;FLU_LU!$D$78&amp;")"</f>
        <v>Economic Price (USD)</v>
      </c>
      <c r="P164" s="152" t="s">
        <v>68</v>
      </c>
    </row>
    <row r="165" spans="3:16" s="23" customFormat="1">
      <c r="D165" s="746">
        <v>2</v>
      </c>
      <c r="E165" s="746"/>
      <c r="F165" s="746"/>
      <c r="G165" s="749"/>
      <c r="H165" s="151"/>
      <c r="I165" s="169" t="str">
        <f ca="1">OFFSET(Cost_Ingredients!$M$146,$D165,0)</f>
        <v>litre</v>
      </c>
      <c r="J165" s="64">
        <v>3</v>
      </c>
      <c r="L165" s="169">
        <f ca="1">OFFSET(Cost_Ingredients!N$146,$D165,0)*$J165</f>
        <v>510</v>
      </c>
      <c r="M165" s="169">
        <f ca="1">OFFSET(Cost_Ingredients!O$146,$D165,0)*$J165</f>
        <v>510</v>
      </c>
      <c r="N165" s="176">
        <f ca="1">OFFSET(Cost_Ingredients!P$146,$D165,0)*$J165</f>
        <v>3.4</v>
      </c>
      <c r="O165" s="176">
        <f ca="1">OFFSET(Cost_Ingredients!Q$146,$D165,0)*$J165</f>
        <v>3.4</v>
      </c>
      <c r="P165" s="151"/>
    </row>
    <row r="166" spans="3:16" s="23" customFormat="1">
      <c r="D166" s="746">
        <v>1</v>
      </c>
      <c r="E166" s="746"/>
      <c r="F166" s="746"/>
      <c r="G166" s="749"/>
      <c r="H166" s="151"/>
      <c r="I166" s="169">
        <f ca="1">OFFSET(Cost_Ingredients!$M$146,$D166,0)</f>
        <v>0</v>
      </c>
      <c r="J166" s="64"/>
      <c r="L166" s="169">
        <f ca="1">OFFSET(Cost_Ingredients!N$146,$D166,0)*$J166</f>
        <v>0</v>
      </c>
      <c r="M166" s="169">
        <f ca="1">OFFSET(Cost_Ingredients!O$146,$D166,0)*$J166</f>
        <v>0</v>
      </c>
      <c r="N166" s="176">
        <f ca="1">OFFSET(Cost_Ingredients!P$146,$D166,0)*$J166</f>
        <v>0</v>
      </c>
      <c r="O166" s="176">
        <f ca="1">OFFSET(Cost_Ingredients!Q$146,$D166,0)*$J166</f>
        <v>0</v>
      </c>
      <c r="P166" s="151"/>
    </row>
    <row r="167" spans="3:16" s="23" customFormat="1">
      <c r="D167" s="746">
        <v>1</v>
      </c>
      <c r="E167" s="746"/>
      <c r="F167" s="746"/>
      <c r="G167" s="749"/>
      <c r="H167" s="151"/>
      <c r="I167" s="169">
        <f ca="1">OFFSET(Cost_Ingredients!$M$146,$D167,0)</f>
        <v>0</v>
      </c>
      <c r="J167" s="64"/>
      <c r="L167" s="169">
        <f ca="1">OFFSET(Cost_Ingredients!N$146,$D167,0)*$J167</f>
        <v>0</v>
      </c>
      <c r="M167" s="169">
        <f ca="1">OFFSET(Cost_Ingredients!O$146,$D167,0)*$J167</f>
        <v>0</v>
      </c>
      <c r="N167" s="176">
        <f ca="1">OFFSET(Cost_Ingredients!P$146,$D167,0)*$J167</f>
        <v>0</v>
      </c>
      <c r="O167" s="176">
        <f ca="1">OFFSET(Cost_Ingredients!Q$146,$D167,0)*$J167</f>
        <v>0</v>
      </c>
      <c r="P167" s="151"/>
    </row>
    <row r="168" spans="3:16" s="23" customFormat="1">
      <c r="D168" s="746">
        <v>1</v>
      </c>
      <c r="E168" s="746"/>
      <c r="F168" s="746"/>
      <c r="G168" s="749"/>
      <c r="H168" s="151"/>
      <c r="I168" s="169">
        <f ca="1">OFFSET(Cost_Ingredients!$M$146,$D168,0)</f>
        <v>0</v>
      </c>
      <c r="J168" s="64"/>
      <c r="L168" s="169">
        <f ca="1">OFFSET(Cost_Ingredients!N$146,$D168,0)*$J168</f>
        <v>0</v>
      </c>
      <c r="M168" s="169">
        <f ca="1">OFFSET(Cost_Ingredients!O$146,$D168,0)*$J168</f>
        <v>0</v>
      </c>
      <c r="N168" s="176">
        <f ca="1">OFFSET(Cost_Ingredients!P$146,$D168,0)*$J168</f>
        <v>0</v>
      </c>
      <c r="O168" s="176">
        <f ca="1">OFFSET(Cost_Ingredients!Q$146,$D168,0)*$J168</f>
        <v>0</v>
      </c>
      <c r="P168" s="151"/>
    </row>
    <row r="169" spans="3:16" s="23" customFormat="1">
      <c r="D169" s="746">
        <v>1</v>
      </c>
      <c r="E169" s="746"/>
      <c r="F169" s="746"/>
      <c r="G169" s="749"/>
      <c r="H169" s="151"/>
      <c r="I169" s="169">
        <f ca="1">OFFSET(Cost_Ingredients!$M$146,$D169,0)</f>
        <v>0</v>
      </c>
      <c r="J169" s="64"/>
      <c r="L169" s="169">
        <f ca="1">OFFSET(Cost_Ingredients!N$146,$D169,0)*$J169</f>
        <v>0</v>
      </c>
      <c r="M169" s="169">
        <f ca="1">OFFSET(Cost_Ingredients!O$146,$D169,0)*$J169</f>
        <v>0</v>
      </c>
      <c r="N169" s="176">
        <f ca="1">OFFSET(Cost_Ingredients!P$146,$D169,0)*$J169</f>
        <v>0</v>
      </c>
      <c r="O169" s="176">
        <f ca="1">OFFSET(Cost_Ingredients!Q$146,$D169,0)*$J169</f>
        <v>0</v>
      </c>
      <c r="P169" s="151"/>
    </row>
    <row r="170" spans="3:16" s="23" customFormat="1">
      <c r="D170" s="746">
        <v>1</v>
      </c>
      <c r="E170" s="746"/>
      <c r="F170" s="746"/>
      <c r="G170" s="749"/>
      <c r="H170" s="151"/>
      <c r="I170" s="169">
        <f ca="1">OFFSET(Cost_Ingredients!$M$146,$D170,0)</f>
        <v>0</v>
      </c>
      <c r="J170" s="64"/>
      <c r="L170" s="169">
        <f ca="1">OFFSET(Cost_Ingredients!N$146,$D170,0)*$J170</f>
        <v>0</v>
      </c>
      <c r="M170" s="169">
        <f ca="1">OFFSET(Cost_Ingredients!O$146,$D170,0)*$J170</f>
        <v>0</v>
      </c>
      <c r="N170" s="176">
        <f ca="1">OFFSET(Cost_Ingredients!P$146,$D170,0)*$J170</f>
        <v>0</v>
      </c>
      <c r="O170" s="176">
        <f ca="1">OFFSET(Cost_Ingredients!Q$146,$D170,0)*$J170</f>
        <v>0</v>
      </c>
      <c r="P170" s="151"/>
    </row>
    <row r="171" spans="3:16" s="23" customFormat="1">
      <c r="D171" s="746">
        <v>1</v>
      </c>
      <c r="E171" s="746"/>
      <c r="F171" s="746"/>
      <c r="G171" s="749"/>
      <c r="H171" s="172"/>
      <c r="I171" s="169">
        <f ca="1">OFFSET(Cost_Ingredients!$M$146,$D171,0)</f>
        <v>0</v>
      </c>
      <c r="J171" s="173"/>
      <c r="L171" s="169">
        <f ca="1">OFFSET(Cost_Ingredients!N$146,$D171,0)*$J171</f>
        <v>0</v>
      </c>
      <c r="M171" s="169">
        <f ca="1">OFFSET(Cost_Ingredients!O$146,$D171,0)*$J171</f>
        <v>0</v>
      </c>
      <c r="N171" s="176">
        <f ca="1">OFFSET(Cost_Ingredients!P$146,$D171,0)*$J171</f>
        <v>0</v>
      </c>
      <c r="O171" s="176">
        <f ca="1">OFFSET(Cost_Ingredients!Q$146,$D171,0)*$J171</f>
        <v>0</v>
      </c>
      <c r="P171" s="172"/>
    </row>
    <row r="172" spans="3:16" s="23" customFormat="1" ht="15" thickBot="1">
      <c r="D172" s="759" t="s">
        <v>161</v>
      </c>
      <c r="E172" s="759"/>
      <c r="F172" s="759"/>
      <c r="G172" s="759"/>
      <c r="H172" s="157"/>
      <c r="I172" s="177">
        <f ca="1">SUM(I165:I171)</f>
        <v>0</v>
      </c>
      <c r="J172" s="71"/>
      <c r="L172" s="24">
        <f ca="1">SUM(L165:L171)</f>
        <v>510</v>
      </c>
      <c r="M172" s="24">
        <f ca="1">SUM(M165:M171)</f>
        <v>510</v>
      </c>
      <c r="N172" s="25">
        <f ca="1">SUM(N165:N171)</f>
        <v>3.4</v>
      </c>
      <c r="O172" s="25">
        <f ca="1">SUM(O165:O171)</f>
        <v>3.4</v>
      </c>
      <c r="P172" s="157"/>
    </row>
    <row r="173" spans="3:16">
      <c r="K173" s="23"/>
    </row>
    <row r="174" spans="3:16" ht="15" thickBot="1">
      <c r="C174" s="70" t="str">
        <f>"Total "&amp;C124</f>
        <v>Total Detailed Cost Estimate: Media appearances/ interviews  on National  TV and Radio</v>
      </c>
      <c r="K174" s="23"/>
      <c r="L174" s="57">
        <f ca="1">SUM(L137,L147,L161,L172)</f>
        <v>22513</v>
      </c>
      <c r="M174" s="57">
        <f ca="1">SUM(M137,M147,M161,M172)</f>
        <v>22528</v>
      </c>
      <c r="N174" s="58">
        <f ca="1">SUM(N137,N147,N161,N172)</f>
        <v>150.08666666666667</v>
      </c>
      <c r="O174" s="58">
        <f ca="1">SUM(O137,O147,O161,O172)</f>
        <v>150.18666666666667</v>
      </c>
    </row>
    <row r="175" spans="3:16" ht="15" thickTop="1">
      <c r="K175" s="23"/>
    </row>
    <row r="176" spans="3:16" s="23" customFormat="1"/>
  </sheetData>
  <mergeCells count="141">
    <mergeCell ref="D92:G92"/>
    <mergeCell ref="D118:G118"/>
    <mergeCell ref="D119:G119"/>
    <mergeCell ref="D112:G112"/>
    <mergeCell ref="D113:G113"/>
    <mergeCell ref="D114:G114"/>
    <mergeCell ref="D115:G115"/>
    <mergeCell ref="D116:G116"/>
    <mergeCell ref="D117:G117"/>
    <mergeCell ref="D100:G100"/>
    <mergeCell ref="D101:G101"/>
    <mergeCell ref="D102:G102"/>
    <mergeCell ref="D103:G103"/>
    <mergeCell ref="D108:G108"/>
    <mergeCell ref="D111:G111"/>
    <mergeCell ref="D93:G93"/>
    <mergeCell ref="D94:G94"/>
    <mergeCell ref="D97:G97"/>
    <mergeCell ref="D98:G98"/>
    <mergeCell ref="D99:G99"/>
    <mergeCell ref="D104:G104"/>
    <mergeCell ref="D107:G107"/>
    <mergeCell ref="D106:G106"/>
    <mergeCell ref="D105:G105"/>
    <mergeCell ref="D171:G171"/>
    <mergeCell ref="D172:G172"/>
    <mergeCell ref="D155:G155"/>
    <mergeCell ref="D156:G156"/>
    <mergeCell ref="D161:G161"/>
    <mergeCell ref="D164:G164"/>
    <mergeCell ref="D165:G165"/>
    <mergeCell ref="D166:G166"/>
    <mergeCell ref="D157:G157"/>
    <mergeCell ref="D160:G160"/>
    <mergeCell ref="D159:G159"/>
    <mergeCell ref="D158:G158"/>
    <mergeCell ref="D167:G167"/>
    <mergeCell ref="D168:G168"/>
    <mergeCell ref="D169:G169"/>
    <mergeCell ref="D170:G170"/>
    <mergeCell ref="D133:G133"/>
    <mergeCell ref="D134:G134"/>
    <mergeCell ref="D135:G135"/>
    <mergeCell ref="D136:G136"/>
    <mergeCell ref="D137:G137"/>
    <mergeCell ref="D140:G140"/>
    <mergeCell ref="D130:G130"/>
    <mergeCell ref="D131:G131"/>
    <mergeCell ref="D132:G132"/>
    <mergeCell ref="D147:G147"/>
    <mergeCell ref="D150:G150"/>
    <mergeCell ref="D151:G151"/>
    <mergeCell ref="D152:G152"/>
    <mergeCell ref="D153:G153"/>
    <mergeCell ref="D154:G154"/>
    <mergeCell ref="D141:G141"/>
    <mergeCell ref="D142:G142"/>
    <mergeCell ref="D143:G143"/>
    <mergeCell ref="D144:G144"/>
    <mergeCell ref="D145:G145"/>
    <mergeCell ref="D146:G146"/>
    <mergeCell ref="D88:G88"/>
    <mergeCell ref="D89:G89"/>
    <mergeCell ref="D90:G90"/>
    <mergeCell ref="D91:G91"/>
    <mergeCell ref="D78:G78"/>
    <mergeCell ref="D79:G79"/>
    <mergeCell ref="D80:G80"/>
    <mergeCell ref="D81:G81"/>
    <mergeCell ref="D82:G82"/>
    <mergeCell ref="D83:G83"/>
    <mergeCell ref="D77:G77"/>
    <mergeCell ref="D57:G57"/>
    <mergeCell ref="D58:G58"/>
    <mergeCell ref="D59:G59"/>
    <mergeCell ref="D60:G60"/>
    <mergeCell ref="D61:G61"/>
    <mergeCell ref="D62:G62"/>
    <mergeCell ref="D84:G84"/>
    <mergeCell ref="D87:G87"/>
    <mergeCell ref="B3:G3"/>
    <mergeCell ref="D35:G35"/>
    <mergeCell ref="D36:G36"/>
    <mergeCell ref="D37:G37"/>
    <mergeCell ref="D38:G38"/>
    <mergeCell ref="D39:G39"/>
    <mergeCell ref="D40:G40"/>
    <mergeCell ref="D16:G16"/>
    <mergeCell ref="D17:G17"/>
    <mergeCell ref="D18:G18"/>
    <mergeCell ref="D19:G19"/>
    <mergeCell ref="D20:G20"/>
    <mergeCell ref="D34:G34"/>
    <mergeCell ref="D24:G24"/>
    <mergeCell ref="D23:G23"/>
    <mergeCell ref="D22:G22"/>
    <mergeCell ref="D21:G21"/>
    <mergeCell ref="D29:G29"/>
    <mergeCell ref="D28:G28"/>
    <mergeCell ref="D27:G27"/>
    <mergeCell ref="D26:G26"/>
    <mergeCell ref="D25:G25"/>
    <mergeCell ref="D30:G30"/>
    <mergeCell ref="H11:P11"/>
    <mergeCell ref="H126:P126"/>
    <mergeCell ref="H88:I88"/>
    <mergeCell ref="H89:I89"/>
    <mergeCell ref="H90:I90"/>
    <mergeCell ref="H91:I91"/>
    <mergeCell ref="H92:I92"/>
    <mergeCell ref="H93:I93"/>
    <mergeCell ref="D15:G15"/>
    <mergeCell ref="D63:G63"/>
    <mergeCell ref="D64:G64"/>
    <mergeCell ref="D53:G53"/>
    <mergeCell ref="D52:G52"/>
    <mergeCell ref="D51:G51"/>
    <mergeCell ref="D50:G50"/>
    <mergeCell ref="D49:G49"/>
    <mergeCell ref="D43:G43"/>
    <mergeCell ref="D44:G44"/>
    <mergeCell ref="D45:G45"/>
    <mergeCell ref="D46:G46"/>
    <mergeCell ref="D47:G47"/>
    <mergeCell ref="D48:G48"/>
    <mergeCell ref="D65:G65"/>
    <mergeCell ref="D66:G66"/>
    <mergeCell ref="H140:I140"/>
    <mergeCell ref="H141:I141"/>
    <mergeCell ref="H142:I142"/>
    <mergeCell ref="H143:I143"/>
    <mergeCell ref="H144:I144"/>
    <mergeCell ref="H145:I145"/>
    <mergeCell ref="H146:I146"/>
    <mergeCell ref="H87:I87"/>
    <mergeCell ref="H34:I34"/>
    <mergeCell ref="H35:I35"/>
    <mergeCell ref="H36:I36"/>
    <mergeCell ref="H37:I37"/>
    <mergeCell ref="H38:I38"/>
    <mergeCell ref="H39:I39"/>
  </mergeCells>
  <dataValidations count="7">
    <dataValidation type="decimal" operator="greaterThanOrEqual" allowBlank="1" showDropDown="1" showErrorMessage="1" errorTitle="Invalid Assumption" error="Assumption must be a value greater than or equal to zero." sqref="J44:J53 J35:J39 J16:J30" xr:uid="{00000000-0002-0000-1B00-000000000000}">
      <formula1>0</formula1>
    </dataValidation>
    <dataValidation type="custom" showErrorMessage="1" errorTitle="Invalid Assumption" error="Assumption must be a number." sqref="J165:J171 J141:J146 J131:J136 J112:J118 J88:J93 J78:J83 L69 J151:J160 J98:J107 J58:J66" xr:uid="{00000000-0002-0000-1B00-000001000000}">
      <formula1>NOT(ISERROR(J58/1))</formula1>
    </dataValidation>
    <dataValidation type="whole" showDropDown="1" showErrorMessage="1" errorTitle="Drop Down Box Cell Link" error="The value in a drop down box cell link must be a whole number within the control's lookup range rows." sqref="D58:D66 D112:D118 D165:D171" xr:uid="{00000000-0002-0000-1B00-000002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35:D39 D141:D146 D88:D93" xr:uid="{00000000-0002-0000-1B00-000003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44:D53 D151:D160 D98:D107" xr:uid="{00000000-0002-0000-1B00-000004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I131:I136 I16:I30 I78:I83" xr:uid="{00000000-0002-0000-1B00-000005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78:G83 D16:G30 D131:G136" xr:uid="{00000000-0002-0000-1B00-000006000000}">
      <formula1>1</formula1>
      <formula2>ROWS(LU_FLU_RECC_PRICES_GROUP_A)</formula2>
    </dataValidation>
  </dataValidations>
  <hyperlinks>
    <hyperlink ref="A4" location="$B$5" tooltip="Go to Top of Sheet" display="$B$5" xr:uid="{00000000-0004-0000-1B00-000000000000}"/>
    <hyperlink ref="C4" location="HL_Sheet_Main_30" tooltip="Go to Next Sheet" display="HL_Sheet_Main_30" xr:uid="{00000000-0004-0000-1B00-000001000000}"/>
    <hyperlink ref="B4" location="HL_Sheet_Main_10" tooltip="Go to Previous Sheet" display="HL_Sheet_Main_10" xr:uid="{00000000-0004-0000-1B00-000002000000}"/>
    <hyperlink ref="B3" location="HL_Home" tooltip="Go to Table of Contents" display="HL_Home" xr:uid="{00000000-0004-0000-1B00-000003000000}"/>
    <hyperlink ref="D4" location="HL_Err_Chk" tooltip="Go to Error Checks" display="HL_Err_Chk" xr:uid="{00000000-0004-0000-1B00-000004000000}"/>
    <hyperlink ref="E4" location="HL_Sens_Chk" tooltip="Go to Sensitivity Checks" display="HL_Sens_Chk" xr:uid="{00000000-0004-0000-1B00-000005000000}"/>
    <hyperlink ref="F4" location="HL_Alt_Chk" tooltip="Go to Alert Checks" display="HL_Alt_Chk" xr:uid="{00000000-0004-0000-1B00-000006000000}"/>
  </hyperlinks>
  <pageMargins left="0.4" right="0.4" top="0.6" bottom="1" header="0" footer="0.3"/>
  <pageSetup orientation="landscape" horizontalDpi="4294967292" verticalDpi="0" r:id="rId1"/>
  <headerFooter>
    <oddFooter>&amp;L&amp;F
&amp;A
Printed: &amp;T on &amp;D&amp;C&amp;",Bold"Sheet 3.1.e.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4923" r:id="rId4" name="bpmDropDownFLU115">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94924" r:id="rId5" name="bpmDropDownFLU116">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294925" r:id="rId6" name="bpmDropDownFLU117">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294926" r:id="rId7" name="bpmDropDownFLU118">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94927" r:id="rId8" name="bpmDropDownFLU119">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294928" r:id="rId9" name="bpmDropDownFLU133">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294929" r:id="rId10" name="bpmDropDownFLU134">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294930" r:id="rId11" name="bpmDropDownFLU135">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294931" r:id="rId12" name="bpmDropDownFLU136">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94932" r:id="rId13" name="bpmDropDownFLU152">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94933" r:id="rId14" name="bpmDropDownFLU153">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94934" r:id="rId15" name="bpmDropDownFLU154">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294935" r:id="rId16" name="bpmDropDownFLU155">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294936" r:id="rId17" name="bpmDropDownFLU156">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294937" r:id="rId18" name="bpmDropDownFLU157">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294938" r:id="rId19" name="bpmDropDownFLU158">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294939" r:id="rId20" name="bpmDropDownFLU159">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94940" r:id="rId21" name="bpmDropDownFLU160">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294941" r:id="rId22" name="bpmDropDownFLU176">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294948" r:id="rId23" name="bpmDropDownFLU231">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294949" r:id="rId24" name="bpmDropDownFLU242">
              <controlPr defaultSize="0" autoFill="0" autoPict="0">
                <anchor moveWithCells="1">
                  <from>
                    <xdr:col>3</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294950" r:id="rId25" name="bpmDropDownFLU243">
              <controlPr defaultSize="0" autoFill="0" autoPict="0">
                <anchor moveWithCells="1">
                  <from>
                    <xdr:col>3</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294951" r:id="rId26" name="bpmDropDownFLU244">
              <controlPr defaultSize="0" autoFill="0" autoPict="0">
                <anchor moveWithCells="1">
                  <from>
                    <xdr:col>3</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294952" r:id="rId27" name="bpmDropDownFLU245">
              <controlPr defaultSize="0" autoFill="0" autoPict="0">
                <anchor moveWithCells="1">
                  <from>
                    <xdr:col>3</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294953" r:id="rId28" name="bpmDropDownFLU246">
              <controlPr defaultSize="0" autoFill="0" autoPict="0">
                <anchor moveWithCells="1">
                  <from>
                    <xdr:col>3</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294954" r:id="rId29" name="bpmDropDownFLU247">
              <controlPr defaultSize="0" autoFill="0" autoPict="0">
                <anchor moveWithCells="1">
                  <from>
                    <xdr:col>3</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294955" r:id="rId30" name="bpmDropDownFLU248">
              <controlPr defaultSize="0" autoFill="0" autoPict="0">
                <anchor moveWithCells="1">
                  <from>
                    <xdr:col>3</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294956" r:id="rId31" name="bpmDropDownFLU249">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294957" r:id="rId32" name="bpmDropDownFLU250">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294958" r:id="rId33" name="bpmDropDownFLU251">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294959" r:id="rId34" name="bpmDropDownFLU252">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294960" r:id="rId35" name="bpmDropDownFLU253">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294961" r:id="rId36" name="bpmDropDownFLU254">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294962" r:id="rId37" name="bpmDropDownFLU255">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294963" r:id="rId38" name="bpmDropDownFLU268">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294964" r:id="rId39" name="bpmDropDownFLU269">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294965" r:id="rId40" name="bpmDropDownFLU270">
              <controlPr defaultSize="0" autoFill="0" autoPict="0">
                <anchor moveWithCells="1">
                  <from>
                    <xdr:col>3</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294966" r:id="rId41" name="bpmDropDownFLU271">
              <controlPr defaultSize="0" autoFill="0" autoPict="0">
                <anchor moveWithCells="1">
                  <from>
                    <xdr:col>3</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294973" r:id="rId42" name="bpmDropDownFLU283">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294974" r:id="rId43" name="bpmDropDownFLU284">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294975" r:id="rId44" name="bpmDropDownFLU285">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294976" r:id="rId45" name="bpmDropDownFLU286">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294977" r:id="rId46" name="bpmDropDownFLU287">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294978" r:id="rId47" name="bpmDropDownFLU288">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294979" r:id="rId48" name="bpmDropDownFLU289">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294980" r:id="rId49" name="bpmDropDownFLU290">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294981" r:id="rId50" name="bpmDropDownFLU291">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294982" r:id="rId51" name="bpmDropDownFLU292">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294983" r:id="rId52" name="bpmDropDownFLU293">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294984" r:id="rId53" name="bpmDropDownFLU294">
              <controlPr defaultSize="0" autoFill="0" autoPict="0">
                <anchor moveWithCells="1">
                  <from>
                    <xdr:col>3</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294985" r:id="rId54" name="bpmDropDownFLU295">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294986" r:id="rId55" name="bpmDropDownFLU343">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294987" r:id="rId56" name="bpmDropDownFLU344">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294988" r:id="rId57" name="bpmDropDownFLU345">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294989" r:id="rId58" name="bpmDropDownFLU346">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294990" r:id="rId59" name="bpmDropDownFLU347">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294991" r:id="rId60" name="bpmDropDownFLU348">
              <controlPr defaultSize="0" autoFill="0" autoPict="0">
                <anchor moveWithCells="1">
                  <from>
                    <xdr:col>3</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294992" r:id="rId61" name="bpmDropDownFLU365">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294993" r:id="rId62" name="bpmDropDownFLU366">
              <controlPr defaultSize="0" autoFill="0" autoPict="0">
                <anchor moveWithCells="1">
                  <from>
                    <xdr:col>3</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294994" r:id="rId63" name="bpmDropDownFLU551">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294995" r:id="rId64" name="bpmDropDownFLU932">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294996" r:id="rId65" name="bpmDropDownFLU938">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294997" r:id="rId66" name="bpmDropDownFLU939">
              <controlPr defaultSize="0" autoFill="0" autoPict="0">
                <anchor moveWithCells="1">
                  <from>
                    <xdr:col>3</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294998" r:id="rId67" name="bpmDropDownFLU940">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294999" r:id="rId68" name="bpmDropDownFLU941">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295010" r:id="rId69" name="bpmDropDownFLU1223">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295011" r:id="rId70" name="bpmDropDownFLU1224">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295012" r:id="rId71" name="bpmDropDownFLU1225">
              <controlPr defaultSize="0" autoFill="0" autoPict="0">
                <anchor moveWithCells="1">
                  <from>
                    <xdr:col>3</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295013" r:id="rId72" name="bpmDropDownFLU1226">
              <controlPr defaultSize="0" autoFill="0" autoPict="0">
                <anchor moveWithCells="1">
                  <from>
                    <xdr:col>3</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295014" r:id="rId73" name="bpmDropDownFLU1227">
              <controlPr defaultSize="0" autoFill="0" autoPict="0">
                <anchor moveWithCells="1">
                  <from>
                    <xdr:col>3</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295016" r:id="rId74" name="bpmDropDownFLU622">
              <controlPr defaultSize="0" autoFill="0" autoPict="0">
                <anchor moveWithCells="1">
                  <from>
                    <xdr:col>8</xdr:col>
                    <xdr:colOff>0</xdr:colOff>
                    <xdr:row>130</xdr:row>
                    <xdr:rowOff>0</xdr:rowOff>
                  </from>
                  <to>
                    <xdr:col>9</xdr:col>
                    <xdr:colOff>0</xdr:colOff>
                    <xdr:row>131</xdr:row>
                    <xdr:rowOff>0</xdr:rowOff>
                  </to>
                </anchor>
              </controlPr>
            </control>
          </mc:Choice>
        </mc:AlternateContent>
        <mc:AlternateContent xmlns:mc="http://schemas.openxmlformats.org/markup-compatibility/2006">
          <mc:Choice Requires="x14">
            <control shapeId="295017" r:id="rId75" name="bpmDropDownFLU623">
              <controlPr defaultSize="0" autoFill="0" autoPict="0">
                <anchor moveWithCells="1">
                  <from>
                    <xdr:col>8</xdr:col>
                    <xdr:colOff>0</xdr:colOff>
                    <xdr:row>131</xdr:row>
                    <xdr:rowOff>0</xdr:rowOff>
                  </from>
                  <to>
                    <xdr:col>9</xdr:col>
                    <xdr:colOff>0</xdr:colOff>
                    <xdr:row>132</xdr:row>
                    <xdr:rowOff>0</xdr:rowOff>
                  </to>
                </anchor>
              </controlPr>
            </control>
          </mc:Choice>
        </mc:AlternateContent>
        <mc:AlternateContent xmlns:mc="http://schemas.openxmlformats.org/markup-compatibility/2006">
          <mc:Choice Requires="x14">
            <control shapeId="295018" r:id="rId76" name="bpmDropDownFLU643">
              <controlPr defaultSize="0" autoFill="0" autoPict="0">
                <anchor moveWithCells="1">
                  <from>
                    <xdr:col>8</xdr:col>
                    <xdr:colOff>0</xdr:colOff>
                    <xdr:row>132</xdr:row>
                    <xdr:rowOff>0</xdr:rowOff>
                  </from>
                  <to>
                    <xdr:col>9</xdr:col>
                    <xdr:colOff>0</xdr:colOff>
                    <xdr:row>133</xdr:row>
                    <xdr:rowOff>0</xdr:rowOff>
                  </to>
                </anchor>
              </controlPr>
            </control>
          </mc:Choice>
        </mc:AlternateContent>
        <mc:AlternateContent xmlns:mc="http://schemas.openxmlformats.org/markup-compatibility/2006">
          <mc:Choice Requires="x14">
            <control shapeId="295019" r:id="rId77" name="bpmDropDownFLU644">
              <controlPr defaultSize="0" autoFill="0" autoPict="0">
                <anchor moveWithCells="1">
                  <from>
                    <xdr:col>8</xdr:col>
                    <xdr:colOff>0</xdr:colOff>
                    <xdr:row>133</xdr:row>
                    <xdr:rowOff>0</xdr:rowOff>
                  </from>
                  <to>
                    <xdr:col>9</xdr:col>
                    <xdr:colOff>0</xdr:colOff>
                    <xdr:row>134</xdr:row>
                    <xdr:rowOff>0</xdr:rowOff>
                  </to>
                </anchor>
              </controlPr>
            </control>
          </mc:Choice>
        </mc:AlternateContent>
        <mc:AlternateContent xmlns:mc="http://schemas.openxmlformats.org/markup-compatibility/2006">
          <mc:Choice Requires="x14">
            <control shapeId="295020" r:id="rId78" name="bpmDropDownFLU645">
              <controlPr defaultSize="0" autoFill="0" autoPict="0">
                <anchor moveWithCells="1">
                  <from>
                    <xdr:col>8</xdr:col>
                    <xdr:colOff>0</xdr:colOff>
                    <xdr:row>134</xdr:row>
                    <xdr:rowOff>0</xdr:rowOff>
                  </from>
                  <to>
                    <xdr:col>9</xdr:col>
                    <xdr:colOff>0</xdr:colOff>
                    <xdr:row>135</xdr:row>
                    <xdr:rowOff>0</xdr:rowOff>
                  </to>
                </anchor>
              </controlPr>
            </control>
          </mc:Choice>
        </mc:AlternateContent>
        <mc:AlternateContent xmlns:mc="http://schemas.openxmlformats.org/markup-compatibility/2006">
          <mc:Choice Requires="x14">
            <control shapeId="295021" r:id="rId79" name="bpmDropDownFLU646">
              <controlPr defaultSize="0" autoFill="0" autoPict="0">
                <anchor moveWithCells="1">
                  <from>
                    <xdr:col>8</xdr:col>
                    <xdr:colOff>0</xdr:colOff>
                    <xdr:row>135</xdr:row>
                    <xdr:rowOff>0</xdr:rowOff>
                  </from>
                  <to>
                    <xdr:col>9</xdr:col>
                    <xdr:colOff>0</xdr:colOff>
                    <xdr:row>136</xdr:row>
                    <xdr:rowOff>0</xdr:rowOff>
                  </to>
                </anchor>
              </controlPr>
            </control>
          </mc:Choice>
        </mc:AlternateContent>
        <mc:AlternateContent xmlns:mc="http://schemas.openxmlformats.org/markup-compatibility/2006">
          <mc:Choice Requires="x14">
            <control shapeId="295022" r:id="rId80" name="bpmDropDownFLU647">
              <controlPr defaultSize="0" autoFill="0" autoPict="0">
                <anchor moveWithCells="1">
                  <from>
                    <xdr:col>8</xdr:col>
                    <xdr:colOff>0</xdr:colOff>
                    <xdr:row>77</xdr:row>
                    <xdr:rowOff>0</xdr:rowOff>
                  </from>
                  <to>
                    <xdr:col>9</xdr:col>
                    <xdr:colOff>0</xdr:colOff>
                    <xdr:row>78</xdr:row>
                    <xdr:rowOff>0</xdr:rowOff>
                  </to>
                </anchor>
              </controlPr>
            </control>
          </mc:Choice>
        </mc:AlternateContent>
        <mc:AlternateContent xmlns:mc="http://schemas.openxmlformats.org/markup-compatibility/2006">
          <mc:Choice Requires="x14">
            <control shapeId="295023" r:id="rId81" name="bpmDropDownFLU648">
              <controlPr defaultSize="0" autoFill="0" autoPict="0">
                <anchor moveWithCells="1">
                  <from>
                    <xdr:col>8</xdr:col>
                    <xdr:colOff>0</xdr:colOff>
                    <xdr:row>78</xdr:row>
                    <xdr:rowOff>0</xdr:rowOff>
                  </from>
                  <to>
                    <xdr:col>9</xdr:col>
                    <xdr:colOff>0</xdr:colOff>
                    <xdr:row>79</xdr:row>
                    <xdr:rowOff>0</xdr:rowOff>
                  </to>
                </anchor>
              </controlPr>
            </control>
          </mc:Choice>
        </mc:AlternateContent>
        <mc:AlternateContent xmlns:mc="http://schemas.openxmlformats.org/markup-compatibility/2006">
          <mc:Choice Requires="x14">
            <control shapeId="295024" r:id="rId82" name="bpmDropDownFLU671">
              <controlPr defaultSize="0" autoFill="0" autoPict="0">
                <anchor moveWithCells="1">
                  <from>
                    <xdr:col>8</xdr:col>
                    <xdr:colOff>0</xdr:colOff>
                    <xdr:row>79</xdr:row>
                    <xdr:rowOff>0</xdr:rowOff>
                  </from>
                  <to>
                    <xdr:col>9</xdr:col>
                    <xdr:colOff>0</xdr:colOff>
                    <xdr:row>80</xdr:row>
                    <xdr:rowOff>0</xdr:rowOff>
                  </to>
                </anchor>
              </controlPr>
            </control>
          </mc:Choice>
        </mc:AlternateContent>
        <mc:AlternateContent xmlns:mc="http://schemas.openxmlformats.org/markup-compatibility/2006">
          <mc:Choice Requires="x14">
            <control shapeId="295025" r:id="rId83" name="bpmDropDownFLU672">
              <controlPr defaultSize="0" autoFill="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295026" r:id="rId84" name="bpmDropDownFLU673">
              <controlPr defaultSize="0" autoFill="0" autoPict="0">
                <anchor moveWithCells="1">
                  <from>
                    <xdr:col>8</xdr:col>
                    <xdr:colOff>0</xdr:colOff>
                    <xdr:row>81</xdr:row>
                    <xdr:rowOff>0</xdr:rowOff>
                  </from>
                  <to>
                    <xdr:col>9</xdr:col>
                    <xdr:colOff>0</xdr:colOff>
                    <xdr:row>82</xdr:row>
                    <xdr:rowOff>0</xdr:rowOff>
                  </to>
                </anchor>
              </controlPr>
            </control>
          </mc:Choice>
        </mc:AlternateContent>
        <mc:AlternateContent xmlns:mc="http://schemas.openxmlformats.org/markup-compatibility/2006">
          <mc:Choice Requires="x14">
            <control shapeId="295027" r:id="rId85" name="bpmDropDownFLU674">
              <controlPr defaultSize="0" autoFill="0" autoPict="0">
                <anchor moveWithCells="1">
                  <from>
                    <xdr:col>8</xdr:col>
                    <xdr:colOff>0</xdr:colOff>
                    <xdr:row>82</xdr:row>
                    <xdr:rowOff>0</xdr:rowOff>
                  </from>
                  <to>
                    <xdr:col>9</xdr:col>
                    <xdr:colOff>0</xdr:colOff>
                    <xdr:row>83</xdr:row>
                    <xdr:rowOff>0</xdr:rowOff>
                  </to>
                </anchor>
              </controlPr>
            </control>
          </mc:Choice>
        </mc:AlternateContent>
        <mc:AlternateContent xmlns:mc="http://schemas.openxmlformats.org/markup-compatibility/2006">
          <mc:Choice Requires="x14">
            <control shapeId="295028" r:id="rId86" name="bpmDropDownFLU675">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95029" r:id="rId87" name="bpmDropDownFLU676">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95030" r:id="rId88" name="bpmDropDownFLU677">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95031" r:id="rId89" name="bpmDropDownFLU678">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95032" r:id="rId90" name="bpmDropDownFLU679">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95033" r:id="rId91" name="bpmDropDownFLU687">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95034" r:id="rId92" name="bpmDropDownFLU689">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95035" r:id="rId93" name="bpmDropDownFLU690">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95037" r:id="rId94" name="bpmDropDownFLU692">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95038" r:id="rId95" name="bpmDropDownFLU693">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95039" r:id="rId96" name="bpmDropDownFLU694">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95040" r:id="rId97" name="bpmDropDownFLU695">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95041" r:id="rId98" name="bpmDropDownFLU696">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95042" r:id="rId99" name="bpmDropDownFLU697">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295043" r:id="rId100" name="bpmDropDownFLU698">
              <controlPr defaultSize="0" autoFill="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295044" r:id="rId101" name="bpmDropDownFLU699">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95045" r:id="rId102" name="bpmDropDownFLU700">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95046" r:id="rId103" name="bpmDropDownFLU701">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95047" r:id="rId104" name="bpmDropDownFLU702">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95048" r:id="rId105" name="bpmDropDownFLU703">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295049" r:id="rId106" name="bpmDropDownFLU704">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295050" r:id="rId107" name="bpmDropDownFLU705">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95051" r:id="rId108" name="bpmDropDownFLU706">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95053" r:id="rId109" name="bpmDropDownFLU708">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295054" r:id="rId110" name="bpmDropDownFLU709">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95055" r:id="rId111" name="bpmDropDownFLU710">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95056" r:id="rId112" name="bpmDropDownFLU711">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95057" r:id="rId113" name="bpmDropDownFLU712">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295058" r:id="rId114" name="bpmDropDownFLU713">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295059" r:id="rId115" name="bpmDropDownFLU714">
              <controlPr defaultSize="0" autoFill="0" autoPict="0">
                <anchor moveWithCells="1">
                  <from>
                    <xdr:col>3</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95060" r:id="rId116" name="bpmDropDownFLU715">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295061" r:id="rId117" name="bpmDropDownFLU716">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295062" r:id="rId118" name="bpmDropDownFLU717">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295063" r:id="rId119" name="bpmDropDownFLU718">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295064" r:id="rId120" name="bpmDropDownFLU719">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295065" r:id="rId121" name="bpmDropDownFLU720">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295066" r:id="rId122" name="bpmDropDownFLU721">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295067" r:id="rId123" name="bpmDropDownFLU722">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295068" r:id="rId124" name="bpmDropDownFLU723">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295069" r:id="rId125" name="bpmDropDownFLU724">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295070" r:id="rId126" name="bpmDropDownFLU725">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295071" r:id="rId127" name="bpmDropDownFLU726">
              <controlPr defaultSize="0" autoFill="0" autoPict="0">
                <anchor moveWithCells="1">
                  <from>
                    <xdr:col>3</xdr:col>
                    <xdr:colOff>0</xdr:colOff>
                    <xdr:row>135</xdr:row>
                    <xdr:rowOff>0</xdr:rowOff>
                  </from>
                  <to>
                    <xdr:col>7</xdr:col>
                    <xdr:colOff>0</xdr:colOff>
                    <xdr:row>136</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3">
    <tabColor indexed="62"/>
    <pageSetUpPr autoPageBreaks="0"/>
  </sheetPr>
  <dimension ref="A1:T174"/>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7" width="11.6640625" style="134" customWidth="1"/>
    <col min="8" max="8" width="20.6640625" style="134" customWidth="1"/>
    <col min="9" max="11" width="11.6640625" style="134" customWidth="1"/>
    <col min="12" max="13" width="15.6640625" style="134" customWidth="1"/>
    <col min="14" max="15" width="11.6640625" style="134" customWidth="1"/>
    <col min="16" max="16" width="10.6640625" style="134" customWidth="1"/>
    <col min="17" max="20" width="11.6640625" style="134" customWidth="1"/>
    <col min="21" max="16384" width="11.6640625" style="134" hidden="1"/>
  </cols>
  <sheetData>
    <row r="1" spans="1:19" ht="21">
      <c r="B1" s="46" t="s">
        <v>531</v>
      </c>
    </row>
    <row r="2" spans="1:19" ht="18">
      <c r="B2" s="47" t="str">
        <f>Model_Name</f>
        <v>Seasonal Influenza Immunization Costing Tool (SIICT)  - Test Country</v>
      </c>
    </row>
    <row r="3" spans="1:19">
      <c r="B3" s="716" t="s">
        <v>1</v>
      </c>
      <c r="C3" s="716"/>
      <c r="D3" s="716"/>
      <c r="E3" s="716"/>
      <c r="F3" s="716"/>
    </row>
    <row r="4" spans="1:19">
      <c r="A4" s="48" t="s">
        <v>3</v>
      </c>
      <c r="B4" s="49" t="s">
        <v>4</v>
      </c>
      <c r="C4" s="50" t="s">
        <v>5</v>
      </c>
      <c r="D4" s="51" t="s">
        <v>25</v>
      </c>
      <c r="E4" s="79" t="s">
        <v>26</v>
      </c>
      <c r="F4" s="52" t="s">
        <v>27</v>
      </c>
    </row>
    <row r="5" spans="1:19">
      <c r="K5" s="23"/>
    </row>
    <row r="6" spans="1:19">
      <c r="K6" s="23"/>
    </row>
    <row r="7" spans="1:19" ht="17.399999999999999">
      <c r="B7" s="15" t="s">
        <v>894</v>
      </c>
      <c r="K7" s="23"/>
    </row>
    <row r="8" spans="1:19" s="23" customFormat="1"/>
    <row r="9" spans="1:19" s="23" customFormat="1">
      <c r="C9" s="160" t="str">
        <f>"Detailed Cost Estimate: "&amp;FLU_LU!$D$371</f>
        <v>Detailed Cost Estimate: Supportive Supervision Visit From National to  PHD (district)</v>
      </c>
    </row>
    <row r="10" spans="1:19" s="23" customFormat="1"/>
    <row r="11" spans="1:19" s="23" customFormat="1">
      <c r="F11" s="68" t="s">
        <v>201</v>
      </c>
      <c r="H11" s="667"/>
      <c r="I11" s="667"/>
      <c r="J11" s="667"/>
      <c r="K11" s="667"/>
      <c r="L11" s="667"/>
      <c r="M11" s="667"/>
      <c r="N11" s="667"/>
      <c r="O11" s="667"/>
      <c r="P11" s="667"/>
    </row>
    <row r="12" spans="1:19" s="23" customFormat="1"/>
    <row r="13" spans="1:19" s="23" customFormat="1">
      <c r="C13" s="160" t="str">
        <f>FLU_LU!$D$278</f>
        <v xml:space="preserve">Personnel </v>
      </c>
    </row>
    <row r="14" spans="1:19" s="23" customFormat="1" ht="43.2">
      <c r="D14" s="733" t="s">
        <v>100</v>
      </c>
      <c r="E14" s="733"/>
      <c r="F14" s="733"/>
      <c r="G14" s="733"/>
      <c r="H14" s="142" t="s">
        <v>274</v>
      </c>
      <c r="I14" s="72" t="s">
        <v>474</v>
      </c>
      <c r="J14" s="152" t="s">
        <v>67</v>
      </c>
      <c r="K14" s="72" t="s">
        <v>475</v>
      </c>
      <c r="L14" s="28" t="str">
        <f>"Financial Price ("&amp;FLU_LU!$D$79&amp;")"</f>
        <v>Financial Price (GOZ)</v>
      </c>
      <c r="M14" s="28" t="str">
        <f>"Economic Price ("&amp;FLU_LU!$D$79&amp;")"</f>
        <v>Economic Price (GOZ)</v>
      </c>
      <c r="N14" s="28" t="str">
        <f>"Financial Price ("&amp;FLU_LU!$D$78&amp;")"</f>
        <v>Financial Price (USD)</v>
      </c>
      <c r="O14" s="28" t="str">
        <f>"Economic Price ("&amp;FLU_LU!$D$78&amp;")"</f>
        <v>Economic Price (USD)</v>
      </c>
      <c r="P14" s="152" t="s">
        <v>68</v>
      </c>
    </row>
    <row r="15" spans="1:19" s="23" customFormat="1">
      <c r="D15" s="746">
        <v>2</v>
      </c>
      <c r="E15" s="747"/>
      <c r="F15" s="747"/>
      <c r="G15" s="748"/>
      <c r="H15" s="151"/>
      <c r="I15" s="31">
        <v>1</v>
      </c>
      <c r="J15" s="320">
        <v>6</v>
      </c>
      <c r="K15" s="193">
        <f t="shared" ref="K15:K29" si="0">IF(I15=1,J15/FLU_DAYS_PER_MONTH,IF(I15=2,J15/FLU_HOURS_PER_MONTH,J15/FLU_MINUTES_PER_MONTH))</f>
        <v>0.27272727272727271</v>
      </c>
      <c r="L15" s="188">
        <f ca="1">OFFSET(Cost_Ingredients!$N$73,$D15,0)*$K15</f>
        <v>0</v>
      </c>
      <c r="M15" s="188">
        <f ca="1">OFFSET(Cost_Ingredients!$O$73,$D15,0)*$K15</f>
        <v>0</v>
      </c>
      <c r="N15" s="189">
        <f ca="1">OFFSET(Cost_Ingredients!$P$73,$D15,0)*$K15</f>
        <v>0</v>
      </c>
      <c r="O15" s="189">
        <f ca="1">OFFSET(Cost_Ingredients!$Q$73,$D15,0)*$K15</f>
        <v>0</v>
      </c>
      <c r="P15" s="736"/>
      <c r="Q15" s="667"/>
      <c r="R15" s="667"/>
      <c r="S15" s="667"/>
    </row>
    <row r="16" spans="1:19" s="23" customFormat="1">
      <c r="D16" s="746">
        <v>1</v>
      </c>
      <c r="E16" s="747"/>
      <c r="F16" s="747"/>
      <c r="G16" s="748"/>
      <c r="H16" s="151"/>
      <c r="I16" s="31">
        <v>1</v>
      </c>
      <c r="J16" s="320">
        <v>0</v>
      </c>
      <c r="K16" s="193">
        <f t="shared" si="0"/>
        <v>0</v>
      </c>
      <c r="L16" s="188">
        <f ca="1">OFFSET(Cost_Ingredients!$N$73,$D16,0)*$K16</f>
        <v>0</v>
      </c>
      <c r="M16" s="188">
        <f ca="1">OFFSET(Cost_Ingredients!$O$73,$D16,0)*$K16</f>
        <v>0</v>
      </c>
      <c r="N16" s="189">
        <f ca="1">OFFSET(Cost_Ingredients!$P$73,$D16,0)*$K16</f>
        <v>0</v>
      </c>
      <c r="O16" s="189">
        <f ca="1">OFFSET(Cost_Ingredients!$Q$73,$D16,0)*$K16</f>
        <v>0</v>
      </c>
      <c r="P16" s="736"/>
      <c r="Q16" s="667"/>
      <c r="R16" s="667"/>
      <c r="S16" s="667"/>
    </row>
    <row r="17" spans="3:19" s="23" customFormat="1">
      <c r="D17" s="746">
        <v>1</v>
      </c>
      <c r="E17" s="747"/>
      <c r="F17" s="747"/>
      <c r="G17" s="748"/>
      <c r="H17" s="151"/>
      <c r="I17" s="31">
        <v>1</v>
      </c>
      <c r="J17" s="320">
        <v>0</v>
      </c>
      <c r="K17" s="193">
        <f t="shared" si="0"/>
        <v>0</v>
      </c>
      <c r="L17" s="188">
        <f ca="1">OFFSET(Cost_Ingredients!$N$73,$D17,0)*$K17</f>
        <v>0</v>
      </c>
      <c r="M17" s="188">
        <f ca="1">OFFSET(Cost_Ingredients!$O$73,$D17,0)*$K17</f>
        <v>0</v>
      </c>
      <c r="N17" s="189">
        <f ca="1">OFFSET(Cost_Ingredients!$P$73,$D17,0)*$K17</f>
        <v>0</v>
      </c>
      <c r="O17" s="189">
        <f ca="1">OFFSET(Cost_Ingredients!$Q$73,$D17,0)*$K17</f>
        <v>0</v>
      </c>
      <c r="P17" s="736"/>
      <c r="Q17" s="667"/>
      <c r="R17" s="667"/>
      <c r="S17" s="667"/>
    </row>
    <row r="18" spans="3:19" s="23" customFormat="1">
      <c r="D18" s="746">
        <v>1</v>
      </c>
      <c r="E18" s="747"/>
      <c r="F18" s="747"/>
      <c r="G18" s="748"/>
      <c r="H18" s="151"/>
      <c r="I18" s="31">
        <v>1</v>
      </c>
      <c r="J18" s="320">
        <v>0</v>
      </c>
      <c r="K18" s="193">
        <f t="shared" si="0"/>
        <v>0</v>
      </c>
      <c r="L18" s="188">
        <f ca="1">OFFSET(Cost_Ingredients!$N$73,$D18,0)*$K18</f>
        <v>0</v>
      </c>
      <c r="M18" s="188">
        <f ca="1">OFFSET(Cost_Ingredients!$O$73,$D18,0)*$K18</f>
        <v>0</v>
      </c>
      <c r="N18" s="189">
        <f ca="1">OFFSET(Cost_Ingredients!$P$73,$D18,0)*$K18</f>
        <v>0</v>
      </c>
      <c r="O18" s="189">
        <f ca="1">OFFSET(Cost_Ingredients!$Q$73,$D18,0)*$K18</f>
        <v>0</v>
      </c>
      <c r="P18" s="736"/>
      <c r="Q18" s="667"/>
      <c r="R18" s="667"/>
      <c r="S18" s="667"/>
    </row>
    <row r="19" spans="3:19" s="23" customFormat="1">
      <c r="D19" s="746">
        <v>1</v>
      </c>
      <c r="E19" s="747"/>
      <c r="F19" s="747"/>
      <c r="G19" s="748"/>
      <c r="H19" s="151"/>
      <c r="I19" s="31">
        <v>1</v>
      </c>
      <c r="J19" s="320">
        <v>0</v>
      </c>
      <c r="K19" s="193">
        <f t="shared" si="0"/>
        <v>0</v>
      </c>
      <c r="L19" s="188">
        <f ca="1">OFFSET(Cost_Ingredients!$N$73,$D19,0)*$K19</f>
        <v>0</v>
      </c>
      <c r="M19" s="188">
        <f ca="1">OFFSET(Cost_Ingredients!$O$73,$D19,0)*$K19</f>
        <v>0</v>
      </c>
      <c r="N19" s="189">
        <f ca="1">OFFSET(Cost_Ingredients!$P$73,$D19,0)*$K19</f>
        <v>0</v>
      </c>
      <c r="O19" s="189">
        <f ca="1">OFFSET(Cost_Ingredients!$Q$73,$D19,0)*$K19</f>
        <v>0</v>
      </c>
      <c r="P19" s="736"/>
      <c r="Q19" s="667"/>
      <c r="R19" s="667"/>
      <c r="S19" s="667"/>
    </row>
    <row r="20" spans="3:19" s="23" customFormat="1">
      <c r="D20" s="746">
        <v>1</v>
      </c>
      <c r="E20" s="747"/>
      <c r="F20" s="747"/>
      <c r="G20" s="748"/>
      <c r="H20" s="151"/>
      <c r="I20" s="31">
        <v>1</v>
      </c>
      <c r="J20" s="320">
        <v>0</v>
      </c>
      <c r="K20" s="193">
        <f t="shared" si="0"/>
        <v>0</v>
      </c>
      <c r="L20" s="188">
        <f ca="1">OFFSET(Cost_Ingredients!$N$73,$D20,0)*$K20</f>
        <v>0</v>
      </c>
      <c r="M20" s="188">
        <f ca="1">OFFSET(Cost_Ingredients!$O$73,$D20,0)*$K20</f>
        <v>0</v>
      </c>
      <c r="N20" s="189">
        <f ca="1">OFFSET(Cost_Ingredients!$P$73,$D20,0)*$K20</f>
        <v>0</v>
      </c>
      <c r="O20" s="189">
        <f ca="1">OFFSET(Cost_Ingredients!$Q$73,$D20,0)*$K20</f>
        <v>0</v>
      </c>
      <c r="P20" s="736"/>
      <c r="Q20" s="667"/>
      <c r="R20" s="667"/>
      <c r="S20" s="667"/>
    </row>
    <row r="21" spans="3:19" s="23" customFormat="1">
      <c r="D21" s="746">
        <v>1</v>
      </c>
      <c r="E21" s="747"/>
      <c r="F21" s="747"/>
      <c r="G21" s="748"/>
      <c r="H21" s="151"/>
      <c r="I21" s="31">
        <v>1</v>
      </c>
      <c r="J21" s="320">
        <v>0</v>
      </c>
      <c r="K21" s="193">
        <f t="shared" si="0"/>
        <v>0</v>
      </c>
      <c r="L21" s="188">
        <f ca="1">OFFSET(Cost_Ingredients!$N$73,$D21,0)*$K21</f>
        <v>0</v>
      </c>
      <c r="M21" s="188">
        <f ca="1">OFFSET(Cost_Ingredients!$O$73,$D21,0)*$K21</f>
        <v>0</v>
      </c>
      <c r="N21" s="189">
        <f ca="1">OFFSET(Cost_Ingredients!$P$73,$D21,0)*$K21</f>
        <v>0</v>
      </c>
      <c r="O21" s="189">
        <f ca="1">OFFSET(Cost_Ingredients!$Q$73,$D21,0)*$K21</f>
        <v>0</v>
      </c>
      <c r="P21" s="736"/>
      <c r="Q21" s="667"/>
      <c r="R21" s="667"/>
      <c r="S21" s="667"/>
    </row>
    <row r="22" spans="3:19" s="23" customFormat="1">
      <c r="D22" s="746">
        <v>1</v>
      </c>
      <c r="E22" s="747"/>
      <c r="F22" s="747"/>
      <c r="G22" s="748"/>
      <c r="H22" s="151"/>
      <c r="I22" s="31">
        <v>1</v>
      </c>
      <c r="J22" s="320">
        <v>0</v>
      </c>
      <c r="K22" s="193">
        <f t="shared" si="0"/>
        <v>0</v>
      </c>
      <c r="L22" s="188">
        <f ca="1">OFFSET(Cost_Ingredients!$N$73,$D22,0)*$K22</f>
        <v>0</v>
      </c>
      <c r="M22" s="188">
        <f ca="1">OFFSET(Cost_Ingredients!$O$73,$D22,0)*$K22</f>
        <v>0</v>
      </c>
      <c r="N22" s="189">
        <f ca="1">OFFSET(Cost_Ingredients!$P$73,$D22,0)*$K22</f>
        <v>0</v>
      </c>
      <c r="O22" s="189">
        <f ca="1">OFFSET(Cost_Ingredients!$Q$73,$D22,0)*$K22</f>
        <v>0</v>
      </c>
      <c r="P22" s="736"/>
      <c r="Q22" s="667"/>
      <c r="R22" s="667"/>
      <c r="S22" s="667"/>
    </row>
    <row r="23" spans="3:19" s="23" customFormat="1">
      <c r="D23" s="746">
        <v>1</v>
      </c>
      <c r="E23" s="747"/>
      <c r="F23" s="747"/>
      <c r="G23" s="748"/>
      <c r="H23" s="151"/>
      <c r="I23" s="31">
        <v>1</v>
      </c>
      <c r="J23" s="320">
        <v>0</v>
      </c>
      <c r="K23" s="193">
        <f t="shared" si="0"/>
        <v>0</v>
      </c>
      <c r="L23" s="188">
        <f ca="1">OFFSET(Cost_Ingredients!$N$73,$D23,0)*$K23</f>
        <v>0</v>
      </c>
      <c r="M23" s="188">
        <f ca="1">OFFSET(Cost_Ingredients!$O$73,$D23,0)*$K23</f>
        <v>0</v>
      </c>
      <c r="N23" s="189">
        <f ca="1">OFFSET(Cost_Ingredients!$P$73,$D23,0)*$K23</f>
        <v>0</v>
      </c>
      <c r="O23" s="189">
        <f ca="1">OFFSET(Cost_Ingredients!$Q$73,$D23,0)*$K23</f>
        <v>0</v>
      </c>
      <c r="P23" s="736"/>
      <c r="Q23" s="667"/>
      <c r="R23" s="667"/>
      <c r="S23" s="667"/>
    </row>
    <row r="24" spans="3:19" s="23" customFormat="1">
      <c r="D24" s="746">
        <v>1</v>
      </c>
      <c r="E24" s="747"/>
      <c r="F24" s="747"/>
      <c r="G24" s="748"/>
      <c r="H24" s="151"/>
      <c r="I24" s="31">
        <v>1</v>
      </c>
      <c r="J24" s="320">
        <v>0</v>
      </c>
      <c r="K24" s="193">
        <f t="shared" si="0"/>
        <v>0</v>
      </c>
      <c r="L24" s="188">
        <f ca="1">OFFSET(Cost_Ingredients!$N$73,$D24,0)*$K24</f>
        <v>0</v>
      </c>
      <c r="M24" s="188">
        <f ca="1">OFFSET(Cost_Ingredients!$O$73,$D24,0)*$K24</f>
        <v>0</v>
      </c>
      <c r="N24" s="189">
        <f ca="1">OFFSET(Cost_Ingredients!$P$73,$D24,0)*$K24</f>
        <v>0</v>
      </c>
      <c r="O24" s="189">
        <f ca="1">OFFSET(Cost_Ingredients!$Q$73,$D24,0)*$K24</f>
        <v>0</v>
      </c>
      <c r="P24" s="736"/>
      <c r="Q24" s="667"/>
      <c r="R24" s="667"/>
      <c r="S24" s="667"/>
    </row>
    <row r="25" spans="3:19" s="23" customFormat="1">
      <c r="D25" s="746">
        <v>1</v>
      </c>
      <c r="E25" s="747"/>
      <c r="F25" s="747"/>
      <c r="G25" s="748"/>
      <c r="H25" s="151"/>
      <c r="I25" s="31">
        <v>1</v>
      </c>
      <c r="J25" s="320">
        <v>0</v>
      </c>
      <c r="K25" s="193">
        <f t="shared" si="0"/>
        <v>0</v>
      </c>
      <c r="L25" s="188">
        <f ca="1">OFFSET(Cost_Ingredients!$N$73,$D25,0)*$K25</f>
        <v>0</v>
      </c>
      <c r="M25" s="188">
        <f ca="1">OFFSET(Cost_Ingredients!$O$73,$D25,0)*$K25</f>
        <v>0</v>
      </c>
      <c r="N25" s="189">
        <f ca="1">OFFSET(Cost_Ingredients!$P$73,$D25,0)*$K25</f>
        <v>0</v>
      </c>
      <c r="O25" s="189">
        <f ca="1">OFFSET(Cost_Ingredients!$Q$73,$D25,0)*$K25</f>
        <v>0</v>
      </c>
      <c r="P25" s="736"/>
      <c r="Q25" s="667"/>
      <c r="R25" s="667"/>
      <c r="S25" s="667"/>
    </row>
    <row r="26" spans="3:19" s="23" customFormat="1">
      <c r="D26" s="746">
        <v>1</v>
      </c>
      <c r="E26" s="747"/>
      <c r="F26" s="747"/>
      <c r="G26" s="748"/>
      <c r="H26" s="151"/>
      <c r="I26" s="31">
        <v>1</v>
      </c>
      <c r="J26" s="320">
        <v>0</v>
      </c>
      <c r="K26" s="193">
        <f t="shared" si="0"/>
        <v>0</v>
      </c>
      <c r="L26" s="188">
        <f ca="1">OFFSET(Cost_Ingredients!$N$73,$D26,0)*$K26</f>
        <v>0</v>
      </c>
      <c r="M26" s="188">
        <f ca="1">OFFSET(Cost_Ingredients!$O$73,$D26,0)*$K26</f>
        <v>0</v>
      </c>
      <c r="N26" s="189">
        <f ca="1">OFFSET(Cost_Ingredients!$P$73,$D26,0)*$K26</f>
        <v>0</v>
      </c>
      <c r="O26" s="189">
        <f ca="1">OFFSET(Cost_Ingredients!$Q$73,$D26,0)*$K26</f>
        <v>0</v>
      </c>
      <c r="P26" s="736"/>
      <c r="Q26" s="667"/>
      <c r="R26" s="667"/>
      <c r="S26" s="667"/>
    </row>
    <row r="27" spans="3:19" s="23" customFormat="1">
      <c r="D27" s="746">
        <v>1</v>
      </c>
      <c r="E27" s="747"/>
      <c r="F27" s="747"/>
      <c r="G27" s="748"/>
      <c r="H27" s="151"/>
      <c r="I27" s="31">
        <v>1</v>
      </c>
      <c r="J27" s="320">
        <v>0</v>
      </c>
      <c r="K27" s="193">
        <f t="shared" si="0"/>
        <v>0</v>
      </c>
      <c r="L27" s="188">
        <f ca="1">OFFSET(Cost_Ingredients!$N$73,$D27,0)*$K27</f>
        <v>0</v>
      </c>
      <c r="M27" s="188">
        <f ca="1">OFFSET(Cost_Ingredients!$O$73,$D27,0)*$K27</f>
        <v>0</v>
      </c>
      <c r="N27" s="189">
        <f ca="1">OFFSET(Cost_Ingredients!$P$73,$D27,0)*$K27</f>
        <v>0</v>
      </c>
      <c r="O27" s="189">
        <f ca="1">OFFSET(Cost_Ingredients!$Q$73,$D27,0)*$K27</f>
        <v>0</v>
      </c>
      <c r="P27" s="736"/>
      <c r="Q27" s="667"/>
      <c r="R27" s="667"/>
      <c r="S27" s="667"/>
    </row>
    <row r="28" spans="3:19" s="23" customFormat="1">
      <c r="D28" s="746">
        <v>1</v>
      </c>
      <c r="E28" s="747"/>
      <c r="F28" s="747"/>
      <c r="G28" s="748"/>
      <c r="H28" s="151"/>
      <c r="I28" s="31">
        <v>1</v>
      </c>
      <c r="J28" s="320">
        <v>0</v>
      </c>
      <c r="K28" s="193">
        <f t="shared" si="0"/>
        <v>0</v>
      </c>
      <c r="L28" s="188">
        <f ca="1">OFFSET(Cost_Ingredients!$N$73,$D28,0)*$K28</f>
        <v>0</v>
      </c>
      <c r="M28" s="188">
        <f ca="1">OFFSET(Cost_Ingredients!$O$73,$D28,0)*$K28</f>
        <v>0</v>
      </c>
      <c r="N28" s="189">
        <f ca="1">OFFSET(Cost_Ingredients!$P$73,$D28,0)*$K28</f>
        <v>0</v>
      </c>
      <c r="O28" s="189">
        <f ca="1">OFFSET(Cost_Ingredients!$Q$73,$D28,0)*$K28</f>
        <v>0</v>
      </c>
      <c r="P28" s="736"/>
      <c r="Q28" s="667"/>
      <c r="R28" s="667"/>
      <c r="S28" s="667"/>
    </row>
    <row r="29" spans="3:19" s="23" customFormat="1">
      <c r="D29" s="746">
        <v>1</v>
      </c>
      <c r="E29" s="747"/>
      <c r="F29" s="747"/>
      <c r="G29" s="748"/>
      <c r="H29" s="172"/>
      <c r="I29" s="31">
        <v>1</v>
      </c>
      <c r="J29" s="320">
        <v>0</v>
      </c>
      <c r="K29" s="193">
        <f t="shared" si="0"/>
        <v>0</v>
      </c>
      <c r="L29" s="188">
        <f ca="1">OFFSET(Cost_Ingredients!$N$73,$D29,0)*$K29</f>
        <v>0</v>
      </c>
      <c r="M29" s="188">
        <f ca="1">OFFSET(Cost_Ingredients!$O$73,$D29,0)*$K29</f>
        <v>0</v>
      </c>
      <c r="N29" s="189">
        <f ca="1">OFFSET(Cost_Ingredients!$P$73,$D29,0)*$K29</f>
        <v>0</v>
      </c>
      <c r="O29" s="189">
        <f ca="1">OFFSET(Cost_Ingredients!$Q$73,$D29,0)*$K29</f>
        <v>0</v>
      </c>
      <c r="P29" s="736"/>
      <c r="Q29" s="667"/>
      <c r="R29" s="667"/>
      <c r="S29" s="667"/>
    </row>
    <row r="30" spans="3:19" s="23" customFormat="1">
      <c r="D30" s="772" t="s">
        <v>161</v>
      </c>
      <c r="E30" s="773"/>
      <c r="F30" s="773"/>
      <c r="G30" s="773"/>
      <c r="H30" s="190"/>
      <c r="I30" s="20"/>
      <c r="J30" s="192"/>
      <c r="K30" s="69"/>
      <c r="L30" s="181">
        <f ca="1">SUM(L15:L29)</f>
        <v>0</v>
      </c>
      <c r="M30" s="181">
        <f ca="1">SUM(M15:M29)</f>
        <v>0</v>
      </c>
      <c r="N30" s="187">
        <f ca="1">SUM(N15:N29)</f>
        <v>0</v>
      </c>
      <c r="O30" s="187">
        <f ca="1">SUM(O15:O29)</f>
        <v>0</v>
      </c>
      <c r="P30" s="152"/>
      <c r="Q30" s="152"/>
      <c r="R30" s="152"/>
      <c r="S30" s="152"/>
    </row>
    <row r="31" spans="3:19" s="23" customFormat="1"/>
    <row r="32" spans="3:19" s="23" customFormat="1">
      <c r="C32" s="153" t="str">
        <f>FLU_LU!$D$279</f>
        <v>Allowances</v>
      </c>
    </row>
    <row r="33" spans="3:19" s="23" customFormat="1" ht="28.8">
      <c r="D33" s="733" t="s">
        <v>100</v>
      </c>
      <c r="E33" s="733"/>
      <c r="F33" s="733"/>
      <c r="G33" s="733"/>
      <c r="H33" s="152" t="s">
        <v>103</v>
      </c>
      <c r="I33" s="152" t="s">
        <v>63</v>
      </c>
      <c r="J33" s="152" t="s">
        <v>67</v>
      </c>
      <c r="L33" s="28" t="str">
        <f>"Financial Price ("&amp;FLU_LU!$D$79&amp;")"</f>
        <v>Financial Price (GOZ)</v>
      </c>
      <c r="M33" s="28" t="str">
        <f>"Economic Price ("&amp;FLU_LU!$D$79&amp;")"</f>
        <v>Economic Price (GOZ)</v>
      </c>
      <c r="N33" s="28" t="str">
        <f>"Financial Price ("&amp;FLU_LU!$D$78&amp;")"</f>
        <v>Financial Price (USD)</v>
      </c>
      <c r="O33" s="28" t="str">
        <f>"Economic Price ("&amp;FLU_LU!$D$78&amp;")"</f>
        <v>Economic Price (USD)</v>
      </c>
      <c r="P33" s="152" t="s">
        <v>68</v>
      </c>
    </row>
    <row r="34" spans="3:19" s="23" customFormat="1">
      <c r="D34" s="746">
        <v>2</v>
      </c>
      <c r="E34" s="746"/>
      <c r="F34" s="746"/>
      <c r="G34" s="749"/>
      <c r="H34" s="667" t="s">
        <v>153</v>
      </c>
      <c r="I34" s="667"/>
      <c r="J34" s="64">
        <v>3</v>
      </c>
      <c r="L34" s="169">
        <f ca="1">OFFSET(Cost_Ingredients!$N$103,$D34,0)*$J34</f>
        <v>16500</v>
      </c>
      <c r="M34" s="169">
        <f ca="1">OFFSET(Cost_Ingredients!$O$103,$D34,0)*$J34</f>
        <v>16500</v>
      </c>
      <c r="N34" s="176">
        <f ca="1">OFFSET(Cost_Ingredients!$P$103,$D34,0)*$J34</f>
        <v>110</v>
      </c>
      <c r="O34" s="176">
        <f ca="1">OFFSET(Cost_Ingredients!$Q$103,$D34,0)*$J34</f>
        <v>110</v>
      </c>
      <c r="P34" s="667"/>
      <c r="Q34" s="667"/>
      <c r="R34" s="667"/>
      <c r="S34" s="667"/>
    </row>
    <row r="35" spans="3:19" s="23" customFormat="1">
      <c r="D35" s="746">
        <v>1</v>
      </c>
      <c r="E35" s="746"/>
      <c r="F35" s="746"/>
      <c r="G35" s="749"/>
      <c r="H35" s="667" t="s">
        <v>153</v>
      </c>
      <c r="I35" s="667"/>
      <c r="J35" s="64">
        <v>4</v>
      </c>
      <c r="L35" s="169">
        <f ca="1">OFFSET(Cost_Ingredients!$N$103,$D35,0)*$J35</f>
        <v>0</v>
      </c>
      <c r="M35" s="169">
        <f ca="1">OFFSET(Cost_Ingredients!$O$103,$D35,0)*$J35</f>
        <v>0</v>
      </c>
      <c r="N35" s="176">
        <f ca="1">OFFSET(Cost_Ingredients!$P$103,$D35,0)*$J35</f>
        <v>0</v>
      </c>
      <c r="O35" s="176">
        <f ca="1">OFFSET(Cost_Ingredients!$Q$103,$D35,0)*$J35</f>
        <v>0</v>
      </c>
      <c r="P35" s="667"/>
      <c r="Q35" s="667"/>
      <c r="R35" s="667"/>
      <c r="S35" s="667"/>
    </row>
    <row r="36" spans="3:19" s="23" customFormat="1">
      <c r="D36" s="746">
        <v>1</v>
      </c>
      <c r="E36" s="746"/>
      <c r="F36" s="746"/>
      <c r="G36" s="749"/>
      <c r="H36" s="667" t="s">
        <v>153</v>
      </c>
      <c r="I36" s="667"/>
      <c r="J36" s="64">
        <v>4</v>
      </c>
      <c r="L36" s="169">
        <f ca="1">OFFSET(Cost_Ingredients!$N$103,$D36,0)*$J36</f>
        <v>0</v>
      </c>
      <c r="M36" s="169">
        <f ca="1">OFFSET(Cost_Ingredients!$O$103,$D36,0)*$J36</f>
        <v>0</v>
      </c>
      <c r="N36" s="176">
        <f ca="1">OFFSET(Cost_Ingredients!$P$103,$D36,0)*$J36</f>
        <v>0</v>
      </c>
      <c r="O36" s="176">
        <f ca="1">OFFSET(Cost_Ingredients!$Q$103,$D36,0)*$J36</f>
        <v>0</v>
      </c>
      <c r="P36" s="667"/>
      <c r="Q36" s="667"/>
      <c r="R36" s="667"/>
      <c r="S36" s="667"/>
    </row>
    <row r="37" spans="3:19" s="23" customFormat="1">
      <c r="D37" s="746">
        <v>1</v>
      </c>
      <c r="E37" s="746"/>
      <c r="F37" s="746"/>
      <c r="G37" s="749"/>
      <c r="H37" s="667" t="s">
        <v>153</v>
      </c>
      <c r="I37" s="667"/>
      <c r="J37" s="64">
        <v>3</v>
      </c>
      <c r="L37" s="169">
        <f ca="1">OFFSET(Cost_Ingredients!$N$103,$D37,0)*$J37</f>
        <v>0</v>
      </c>
      <c r="M37" s="169">
        <f ca="1">OFFSET(Cost_Ingredients!$O$103,$D37,0)*$J37</f>
        <v>0</v>
      </c>
      <c r="N37" s="176">
        <f ca="1">OFFSET(Cost_Ingredients!$P$103,$D37,0)*$J37</f>
        <v>0</v>
      </c>
      <c r="O37" s="176">
        <f ca="1">OFFSET(Cost_Ingredients!$Q$103,$D37,0)*$J37</f>
        <v>0</v>
      </c>
      <c r="P37" s="667"/>
      <c r="Q37" s="667"/>
      <c r="R37" s="667"/>
      <c r="S37" s="667"/>
    </row>
    <row r="38" spans="3:19" s="23" customFormat="1">
      <c r="D38" s="746">
        <v>1</v>
      </c>
      <c r="E38" s="746"/>
      <c r="F38" s="746"/>
      <c r="G38" s="749"/>
      <c r="H38" s="745" t="s">
        <v>153</v>
      </c>
      <c r="I38" s="745"/>
      <c r="J38" s="173">
        <v>3</v>
      </c>
      <c r="L38" s="169">
        <f ca="1">OFFSET(Cost_Ingredients!$N$103,$D38,0)*$J38</f>
        <v>0</v>
      </c>
      <c r="M38" s="169">
        <f ca="1">OFFSET(Cost_Ingredients!$O$103,$D38,0)*$J38</f>
        <v>0</v>
      </c>
      <c r="N38" s="176">
        <f ca="1">OFFSET(Cost_Ingredients!$P$103,$D38,0)*$J38</f>
        <v>0</v>
      </c>
      <c r="O38" s="176">
        <f ca="1">OFFSET(Cost_Ingredients!$Q$103,$D38,0)*$J38</f>
        <v>0</v>
      </c>
      <c r="P38" s="745"/>
      <c r="Q38" s="745"/>
      <c r="R38" s="745"/>
      <c r="S38" s="745"/>
    </row>
    <row r="39" spans="3:19" s="23" customFormat="1">
      <c r="D39" s="762" t="s">
        <v>161</v>
      </c>
      <c r="E39" s="762"/>
      <c r="F39" s="762"/>
      <c r="G39" s="762"/>
      <c r="H39" s="156"/>
      <c r="I39" s="156"/>
      <c r="J39" s="69"/>
      <c r="L39" s="59">
        <f ca="1">SUM(L34:L38)</f>
        <v>16500</v>
      </c>
      <c r="M39" s="59">
        <f ca="1">SUM(M34:M38)</f>
        <v>16500</v>
      </c>
      <c r="N39" s="45">
        <f ca="1">SUM(N34:N38)</f>
        <v>110</v>
      </c>
      <c r="O39" s="45">
        <f ca="1">SUM(O34:O38)</f>
        <v>110</v>
      </c>
      <c r="P39" s="156"/>
      <c r="Q39" s="156"/>
      <c r="R39" s="156"/>
      <c r="S39" s="156"/>
    </row>
    <row r="40" spans="3:19" s="23" customFormat="1"/>
    <row r="41" spans="3:19" s="23" customFormat="1">
      <c r="C41" s="153" t="str">
        <f>FLU_LU!$D$280</f>
        <v>Supplies &amp; Materials</v>
      </c>
    </row>
    <row r="42" spans="3:19" s="23" customFormat="1" ht="28.8">
      <c r="D42" s="733" t="s">
        <v>100</v>
      </c>
      <c r="E42" s="733"/>
      <c r="F42" s="733"/>
      <c r="G42" s="733"/>
      <c r="H42" s="152" t="s">
        <v>104</v>
      </c>
      <c r="I42" s="152" t="s">
        <v>63</v>
      </c>
      <c r="J42" s="152" t="s">
        <v>67</v>
      </c>
      <c r="L42" s="28" t="str">
        <f>"Financial Price ("&amp;FLU_LU!$D$79&amp;")"</f>
        <v>Financial Price (GOZ)</v>
      </c>
      <c r="M42" s="28" t="str">
        <f>"Economic Price ("&amp;FLU_LU!$D$79&amp;")"</f>
        <v>Economic Price (GOZ)</v>
      </c>
      <c r="N42" s="28" t="str">
        <f>"Financial Price ("&amp;FLU_LU!$D$78&amp;")"</f>
        <v>Financial Price (USD)</v>
      </c>
      <c r="O42" s="28" t="str">
        <f>"Economic Price ("&amp;FLU_LU!$D$78&amp;")"</f>
        <v>Economic Price (USD)</v>
      </c>
      <c r="P42" s="152" t="s">
        <v>68</v>
      </c>
    </row>
    <row r="43" spans="3:19" s="23" customFormat="1">
      <c r="D43" s="746">
        <v>6</v>
      </c>
      <c r="E43" s="746"/>
      <c r="F43" s="746"/>
      <c r="G43" s="749"/>
      <c r="H43" s="151" t="s">
        <v>153</v>
      </c>
      <c r="I43" s="169" t="str">
        <f ca="1">OFFSET(Cost_Ingredients!$M$117,$D43,0)</f>
        <v>pz</v>
      </c>
      <c r="J43" s="64">
        <v>40</v>
      </c>
      <c r="L43" s="169">
        <f ca="1">OFFSET(Cost_Ingredients!N$117,$D43,0)*$J43</f>
        <v>1200</v>
      </c>
      <c r="M43" s="169">
        <f ca="1">OFFSET(Cost_Ingredients!O$117,$D43,0)*$J43</f>
        <v>1201.44</v>
      </c>
      <c r="N43" s="176">
        <f ca="1">OFFSET(Cost_Ingredients!P$117,$D43,0)*$J43</f>
        <v>8</v>
      </c>
      <c r="O43" s="176">
        <f ca="1">OFFSET(Cost_Ingredients!Q$117,$D43,0)*$J43</f>
        <v>8.0096000000000007</v>
      </c>
      <c r="P43" s="667"/>
      <c r="Q43" s="667"/>
      <c r="R43" s="667"/>
      <c r="S43" s="667"/>
    </row>
    <row r="44" spans="3:19" s="23" customFormat="1">
      <c r="D44" s="746">
        <v>1</v>
      </c>
      <c r="E44" s="746"/>
      <c r="F44" s="746"/>
      <c r="G44" s="749"/>
      <c r="H44" s="151" t="s">
        <v>153</v>
      </c>
      <c r="I44" s="169">
        <f ca="1">OFFSET(Cost_Ingredients!$M$117,$D44,0)</f>
        <v>0</v>
      </c>
      <c r="J44" s="64"/>
      <c r="L44" s="169">
        <f ca="1">OFFSET(Cost_Ingredients!N$117,$D44,0)*$J44</f>
        <v>0</v>
      </c>
      <c r="M44" s="169">
        <f ca="1">OFFSET(Cost_Ingredients!O$117,$D44,0)*$J44</f>
        <v>0</v>
      </c>
      <c r="N44" s="176">
        <f ca="1">OFFSET(Cost_Ingredients!P$117,$D44,0)*$J44</f>
        <v>0</v>
      </c>
      <c r="O44" s="176">
        <f ca="1">OFFSET(Cost_Ingredients!Q$117,$D44,0)*$J44</f>
        <v>0</v>
      </c>
      <c r="P44" s="667"/>
      <c r="Q44" s="667"/>
      <c r="R44" s="667"/>
      <c r="S44" s="667"/>
    </row>
    <row r="45" spans="3:19" s="23" customFormat="1">
      <c r="D45" s="746">
        <v>1</v>
      </c>
      <c r="E45" s="746"/>
      <c r="F45" s="746"/>
      <c r="G45" s="749"/>
      <c r="H45" s="151" t="s">
        <v>153</v>
      </c>
      <c r="I45" s="169">
        <f ca="1">OFFSET(Cost_Ingredients!$M$117,$D45,0)</f>
        <v>0</v>
      </c>
      <c r="J45" s="64">
        <v>0</v>
      </c>
      <c r="L45" s="169">
        <f ca="1">OFFSET(Cost_Ingredients!N$117,$D45,0)*$J45</f>
        <v>0</v>
      </c>
      <c r="M45" s="169">
        <f ca="1">OFFSET(Cost_Ingredients!O$117,$D45,0)*$J45</f>
        <v>0</v>
      </c>
      <c r="N45" s="176">
        <f ca="1">OFFSET(Cost_Ingredients!P$117,$D45,0)*$J45</f>
        <v>0</v>
      </c>
      <c r="O45" s="176">
        <f ca="1">OFFSET(Cost_Ingredients!Q$117,$D45,0)*$J45</f>
        <v>0</v>
      </c>
      <c r="P45" s="667"/>
      <c r="Q45" s="667"/>
      <c r="R45" s="667"/>
      <c r="S45" s="667"/>
    </row>
    <row r="46" spans="3:19" s="23" customFormat="1">
      <c r="D46" s="746">
        <v>1</v>
      </c>
      <c r="E46" s="746"/>
      <c r="F46" s="746"/>
      <c r="G46" s="749"/>
      <c r="H46" s="151" t="s">
        <v>153</v>
      </c>
      <c r="I46" s="169">
        <f ca="1">OFFSET(Cost_Ingredients!$M$117,$D46,0)</f>
        <v>0</v>
      </c>
      <c r="J46" s="64">
        <v>0</v>
      </c>
      <c r="L46" s="169">
        <f ca="1">OFFSET(Cost_Ingredients!N$117,$D46,0)*$J46</f>
        <v>0</v>
      </c>
      <c r="M46" s="169">
        <f ca="1">OFFSET(Cost_Ingredients!O$117,$D46,0)*$J46</f>
        <v>0</v>
      </c>
      <c r="N46" s="176">
        <f ca="1">OFFSET(Cost_Ingredients!P$117,$D46,0)*$J46</f>
        <v>0</v>
      </c>
      <c r="O46" s="176">
        <f ca="1">OFFSET(Cost_Ingredients!Q$117,$D46,0)*$J46</f>
        <v>0</v>
      </c>
      <c r="P46" s="667"/>
      <c r="Q46" s="667"/>
      <c r="R46" s="667"/>
      <c r="S46" s="667"/>
    </row>
    <row r="47" spans="3:19" s="23" customFormat="1">
      <c r="D47" s="746">
        <v>1</v>
      </c>
      <c r="E47" s="746"/>
      <c r="F47" s="746"/>
      <c r="G47" s="749"/>
      <c r="H47" s="151" t="s">
        <v>153</v>
      </c>
      <c r="I47" s="169">
        <f ca="1">OFFSET(Cost_Ingredients!$M$117,$D47,0)</f>
        <v>0</v>
      </c>
      <c r="J47" s="64">
        <v>0</v>
      </c>
      <c r="L47" s="169">
        <f ca="1">OFFSET(Cost_Ingredients!N$117,$D47,0)*$J47</f>
        <v>0</v>
      </c>
      <c r="M47" s="169">
        <f ca="1">OFFSET(Cost_Ingredients!O$117,$D47,0)*$J47</f>
        <v>0</v>
      </c>
      <c r="N47" s="176">
        <f ca="1">OFFSET(Cost_Ingredients!P$117,$D47,0)*$J47</f>
        <v>0</v>
      </c>
      <c r="O47" s="176">
        <f ca="1">OFFSET(Cost_Ingredients!Q$117,$D47,0)*$J47</f>
        <v>0</v>
      </c>
      <c r="P47" s="667"/>
      <c r="Q47" s="667"/>
      <c r="R47" s="667"/>
      <c r="S47" s="667"/>
    </row>
    <row r="48" spans="3:19" s="23" customFormat="1">
      <c r="D48" s="746">
        <v>1</v>
      </c>
      <c r="E48" s="746"/>
      <c r="F48" s="746"/>
      <c r="G48" s="749"/>
      <c r="H48" s="151"/>
      <c r="I48" s="169">
        <f ca="1">OFFSET(Cost_Ingredients!$M$117,$D48,0)</f>
        <v>0</v>
      </c>
      <c r="J48" s="64">
        <v>0</v>
      </c>
      <c r="L48" s="169">
        <f ca="1">OFFSET(Cost_Ingredients!N$117,$D48,0)*$J48</f>
        <v>0</v>
      </c>
      <c r="M48" s="169">
        <f ca="1">OFFSET(Cost_Ingredients!O$117,$D48,0)*$J48</f>
        <v>0</v>
      </c>
      <c r="N48" s="176">
        <f ca="1">OFFSET(Cost_Ingredients!P$117,$D48,0)*$J48</f>
        <v>0</v>
      </c>
      <c r="O48" s="176">
        <f ca="1">OFFSET(Cost_Ingredients!Q$117,$D48,0)*$J48</f>
        <v>0</v>
      </c>
      <c r="P48" s="667"/>
      <c r="Q48" s="667"/>
      <c r="R48" s="667"/>
      <c r="S48" s="667"/>
    </row>
    <row r="49" spans="3:19" s="23" customFormat="1">
      <c r="D49" s="746">
        <v>1</v>
      </c>
      <c r="E49" s="746"/>
      <c r="F49" s="746"/>
      <c r="G49" s="749"/>
      <c r="H49" s="151"/>
      <c r="I49" s="169">
        <f ca="1">OFFSET(Cost_Ingredients!$M$117,$D49,0)</f>
        <v>0</v>
      </c>
      <c r="J49" s="64">
        <v>0</v>
      </c>
      <c r="L49" s="169">
        <f ca="1">OFFSET(Cost_Ingredients!N$117,$D49,0)*$J49</f>
        <v>0</v>
      </c>
      <c r="M49" s="169">
        <f ca="1">OFFSET(Cost_Ingredients!O$117,$D49,0)*$J49</f>
        <v>0</v>
      </c>
      <c r="N49" s="176">
        <f ca="1">OFFSET(Cost_Ingredients!P$117,$D49,0)*$J49</f>
        <v>0</v>
      </c>
      <c r="O49" s="176">
        <f ca="1">OFFSET(Cost_Ingredients!Q$117,$D49,0)*$J49</f>
        <v>0</v>
      </c>
      <c r="P49" s="667"/>
      <c r="Q49" s="667"/>
      <c r="R49" s="667"/>
      <c r="S49" s="667"/>
    </row>
    <row r="50" spans="3:19" s="23" customFormat="1">
      <c r="D50" s="746">
        <v>1</v>
      </c>
      <c r="E50" s="746"/>
      <c r="F50" s="746"/>
      <c r="G50" s="749"/>
      <c r="H50" s="151"/>
      <c r="I50" s="169">
        <f ca="1">OFFSET(Cost_Ingredients!$M$117,$D50,0)</f>
        <v>0</v>
      </c>
      <c r="J50" s="64">
        <v>0</v>
      </c>
      <c r="L50" s="169">
        <f ca="1">OFFSET(Cost_Ingredients!N$117,$D50,0)*$J50</f>
        <v>0</v>
      </c>
      <c r="M50" s="169">
        <f ca="1">OFFSET(Cost_Ingredients!O$117,$D50,0)*$J50</f>
        <v>0</v>
      </c>
      <c r="N50" s="176">
        <f ca="1">OFFSET(Cost_Ingredients!P$117,$D50,0)*$J50</f>
        <v>0</v>
      </c>
      <c r="O50" s="176">
        <f ca="1">OFFSET(Cost_Ingredients!Q$117,$D50,0)*$J50</f>
        <v>0</v>
      </c>
      <c r="P50" s="667"/>
      <c r="Q50" s="667"/>
      <c r="R50" s="667"/>
      <c r="S50" s="667"/>
    </row>
    <row r="51" spans="3:19" s="23" customFormat="1">
      <c r="D51" s="746">
        <v>1</v>
      </c>
      <c r="E51" s="746"/>
      <c r="F51" s="746"/>
      <c r="G51" s="749"/>
      <c r="H51" s="151"/>
      <c r="I51" s="169">
        <f ca="1">OFFSET(Cost_Ingredients!$M$117,$D51,0)</f>
        <v>0</v>
      </c>
      <c r="J51" s="64">
        <v>0</v>
      </c>
      <c r="L51" s="169">
        <f ca="1">OFFSET(Cost_Ingredients!N$117,$D51,0)*$J51</f>
        <v>0</v>
      </c>
      <c r="M51" s="169">
        <f ca="1">OFFSET(Cost_Ingredients!O$117,$D51,0)*$J51</f>
        <v>0</v>
      </c>
      <c r="N51" s="176">
        <f ca="1">OFFSET(Cost_Ingredients!P$117,$D51,0)*$J51</f>
        <v>0</v>
      </c>
      <c r="O51" s="176">
        <f ca="1">OFFSET(Cost_Ingredients!Q$117,$D51,0)*$J51</f>
        <v>0</v>
      </c>
      <c r="P51" s="667"/>
      <c r="Q51" s="667"/>
      <c r="R51" s="667"/>
      <c r="S51" s="667"/>
    </row>
    <row r="52" spans="3:19" s="23" customFormat="1">
      <c r="D52" s="746">
        <v>1</v>
      </c>
      <c r="E52" s="746"/>
      <c r="F52" s="746"/>
      <c r="G52" s="749"/>
      <c r="H52" s="172"/>
      <c r="I52" s="169">
        <f ca="1">OFFSET(Cost_Ingredients!$M$117,$D52,0)</f>
        <v>0</v>
      </c>
      <c r="J52" s="173">
        <v>0</v>
      </c>
      <c r="L52" s="169">
        <f ca="1">OFFSET(Cost_Ingredients!N$117,$D52,0)*$J52</f>
        <v>0</v>
      </c>
      <c r="M52" s="169">
        <f ca="1">OFFSET(Cost_Ingredients!O$117,$D52,0)*$J52</f>
        <v>0</v>
      </c>
      <c r="N52" s="176">
        <f ca="1">OFFSET(Cost_Ingredients!P$117,$D52,0)*$J52</f>
        <v>0</v>
      </c>
      <c r="O52" s="176">
        <f ca="1">OFFSET(Cost_Ingredients!Q$117,$D52,0)*$J52</f>
        <v>0</v>
      </c>
      <c r="P52" s="745"/>
      <c r="Q52" s="745"/>
      <c r="R52" s="745"/>
      <c r="S52" s="745"/>
    </row>
    <row r="53" spans="3:19" s="23" customFormat="1">
      <c r="D53" s="762" t="s">
        <v>161</v>
      </c>
      <c r="E53" s="762"/>
      <c r="F53" s="762"/>
      <c r="G53" s="762"/>
      <c r="H53" s="156"/>
      <c r="I53" s="69"/>
      <c r="J53" s="69"/>
      <c r="L53" s="59">
        <f ca="1">SUM(L43:L52)</f>
        <v>1200</v>
      </c>
      <c r="M53" s="59">
        <f ca="1">SUM(M43:M52)</f>
        <v>1201.44</v>
      </c>
      <c r="N53" s="45">
        <f ca="1">SUM(N43:N52)</f>
        <v>8</v>
      </c>
      <c r="O53" s="45">
        <f ca="1">SUM(O43:O52)</f>
        <v>8.0096000000000007</v>
      </c>
      <c r="P53" s="156"/>
      <c r="Q53" s="156"/>
      <c r="R53" s="156"/>
      <c r="S53" s="156"/>
    </row>
    <row r="54" spans="3:19" s="23" customFormat="1"/>
    <row r="55" spans="3:19" s="23" customFormat="1">
      <c r="C55" s="153" t="str">
        <f>FLU_LU!$D$281</f>
        <v>Other Direct Costs (Recurrent)</v>
      </c>
    </row>
    <row r="56" spans="3:19" s="23" customFormat="1" ht="28.8">
      <c r="D56" s="733" t="s">
        <v>100</v>
      </c>
      <c r="E56" s="733"/>
      <c r="F56" s="733"/>
      <c r="G56" s="733"/>
      <c r="H56" s="152" t="s">
        <v>102</v>
      </c>
      <c r="I56" s="152" t="s">
        <v>63</v>
      </c>
      <c r="J56" s="152" t="s">
        <v>67</v>
      </c>
      <c r="L56" s="28" t="str">
        <f>"Financial Price ("&amp;FLU_LU!$D$79&amp;")"</f>
        <v>Financial Price (GOZ)</v>
      </c>
      <c r="M56" s="28" t="str">
        <f>"Economic Price ("&amp;FLU_LU!$D$79&amp;")"</f>
        <v>Economic Price (GOZ)</v>
      </c>
      <c r="N56" s="28" t="str">
        <f>"Financial Price ("&amp;FLU_LU!$D$78&amp;")"</f>
        <v>Financial Price (USD)</v>
      </c>
      <c r="O56" s="28" t="str">
        <f>"Economic Price ("&amp;FLU_LU!$D$78&amp;")"</f>
        <v>Economic Price (USD)</v>
      </c>
      <c r="P56" s="152" t="s">
        <v>68</v>
      </c>
    </row>
    <row r="57" spans="3:19" s="23" customFormat="1">
      <c r="D57" s="746">
        <v>2</v>
      </c>
      <c r="E57" s="746"/>
      <c r="F57" s="746"/>
      <c r="G57" s="749"/>
      <c r="H57" s="151" t="s">
        <v>153</v>
      </c>
      <c r="I57" s="169" t="str">
        <f ca="1">OFFSET(Cost_Ingredients!$M$146,$D57,0)</f>
        <v>litre</v>
      </c>
      <c r="J57" s="64">
        <v>10</v>
      </c>
      <c r="L57" s="169">
        <f ca="1">OFFSET(Cost_Ingredients!N$146,$D57,0)*$J57</f>
        <v>1700</v>
      </c>
      <c r="M57" s="169">
        <f ca="1">OFFSET(Cost_Ingredients!O$146,$D57,0)*$J57</f>
        <v>1700</v>
      </c>
      <c r="N57" s="176">
        <f ca="1">OFFSET(Cost_Ingredients!P$146,$D57,0)*$J57</f>
        <v>11.333333333333332</v>
      </c>
      <c r="O57" s="176">
        <f ca="1">OFFSET(Cost_Ingredients!Q$146,$D57,0)*$J57</f>
        <v>11.333333333333332</v>
      </c>
      <c r="P57" s="667"/>
      <c r="Q57" s="667"/>
      <c r="R57" s="667"/>
      <c r="S57" s="667"/>
    </row>
    <row r="58" spans="3:19" s="23" customFormat="1">
      <c r="D58" s="746">
        <v>1</v>
      </c>
      <c r="E58" s="746"/>
      <c r="F58" s="746"/>
      <c r="G58" s="749"/>
      <c r="H58" s="151" t="s">
        <v>153</v>
      </c>
      <c r="I58" s="169">
        <f ca="1">OFFSET(Cost_Ingredients!$M$146,$D58,0)</f>
        <v>0</v>
      </c>
      <c r="J58" s="64">
        <v>16</v>
      </c>
      <c r="L58" s="169">
        <f ca="1">OFFSET(Cost_Ingredients!N$146,$D58,0)*$J58</f>
        <v>0</v>
      </c>
      <c r="M58" s="169">
        <f ca="1">OFFSET(Cost_Ingredients!O$146,$D58,0)*$J58</f>
        <v>0</v>
      </c>
      <c r="N58" s="176">
        <f ca="1">OFFSET(Cost_Ingredients!P$146,$D58,0)*$J58</f>
        <v>0</v>
      </c>
      <c r="O58" s="176">
        <f ca="1">OFFSET(Cost_Ingredients!Q$146,$D58,0)*$J58</f>
        <v>0</v>
      </c>
      <c r="P58" s="667"/>
      <c r="Q58" s="667"/>
      <c r="R58" s="667"/>
      <c r="S58" s="667"/>
    </row>
    <row r="59" spans="3:19" s="23" customFormat="1">
      <c r="D59" s="746">
        <v>1</v>
      </c>
      <c r="E59" s="746"/>
      <c r="F59" s="746"/>
      <c r="G59" s="749"/>
      <c r="H59" s="151" t="s">
        <v>153</v>
      </c>
      <c r="I59" s="169">
        <f ca="1">OFFSET(Cost_Ingredients!$M$146,$D59,0)</f>
        <v>0</v>
      </c>
      <c r="J59" s="64">
        <v>0</v>
      </c>
      <c r="L59" s="169">
        <f ca="1">OFFSET(Cost_Ingredients!N$146,$D59,0)*$J59</f>
        <v>0</v>
      </c>
      <c r="M59" s="169">
        <f ca="1">OFFSET(Cost_Ingredients!O$146,$D59,0)*$J59</f>
        <v>0</v>
      </c>
      <c r="N59" s="176">
        <f ca="1">OFFSET(Cost_Ingredients!P$146,$D59,0)*$J59</f>
        <v>0</v>
      </c>
      <c r="O59" s="176">
        <f ca="1">OFFSET(Cost_Ingredients!Q$146,$D59,0)*$J59</f>
        <v>0</v>
      </c>
      <c r="P59" s="667"/>
      <c r="Q59" s="667"/>
      <c r="R59" s="667"/>
      <c r="S59" s="667"/>
    </row>
    <row r="60" spans="3:19" s="23" customFormat="1">
      <c r="D60" s="746">
        <v>1</v>
      </c>
      <c r="E60" s="746"/>
      <c r="F60" s="746"/>
      <c r="G60" s="749"/>
      <c r="H60" s="151" t="s">
        <v>153</v>
      </c>
      <c r="I60" s="169">
        <f ca="1">OFFSET(Cost_Ingredients!$M$146,$D60,0)</f>
        <v>0</v>
      </c>
      <c r="J60" s="64">
        <v>0</v>
      </c>
      <c r="L60" s="169">
        <f ca="1">OFFSET(Cost_Ingredients!N$146,$D60,0)*$J60</f>
        <v>0</v>
      </c>
      <c r="M60" s="169">
        <f ca="1">OFFSET(Cost_Ingredients!O$146,$D60,0)*$J60</f>
        <v>0</v>
      </c>
      <c r="N60" s="176">
        <f ca="1">OFFSET(Cost_Ingredients!P$146,$D60,0)*$J60</f>
        <v>0</v>
      </c>
      <c r="O60" s="176">
        <f ca="1">OFFSET(Cost_Ingredients!Q$146,$D60,0)*$J60</f>
        <v>0</v>
      </c>
      <c r="P60" s="667"/>
      <c r="Q60" s="667"/>
      <c r="R60" s="667"/>
      <c r="S60" s="667"/>
    </row>
    <row r="61" spans="3:19" s="23" customFormat="1">
      <c r="D61" s="746">
        <v>1</v>
      </c>
      <c r="E61" s="746"/>
      <c r="F61" s="746"/>
      <c r="G61" s="749"/>
      <c r="H61" s="151" t="s">
        <v>153</v>
      </c>
      <c r="I61" s="169">
        <f ca="1">OFFSET(Cost_Ingredients!$M$146,$D61,0)</f>
        <v>0</v>
      </c>
      <c r="J61" s="64">
        <v>0</v>
      </c>
      <c r="L61" s="169">
        <f ca="1">OFFSET(Cost_Ingredients!N$146,$D61,0)*$J61</f>
        <v>0</v>
      </c>
      <c r="M61" s="169">
        <f ca="1">OFFSET(Cost_Ingredients!O$146,$D61,0)*$J61</f>
        <v>0</v>
      </c>
      <c r="N61" s="176">
        <f ca="1">OFFSET(Cost_Ingredients!P$146,$D61,0)*$J61</f>
        <v>0</v>
      </c>
      <c r="O61" s="176">
        <f ca="1">OFFSET(Cost_Ingredients!Q$146,$D61,0)*$J61</f>
        <v>0</v>
      </c>
      <c r="P61" s="667"/>
      <c r="Q61" s="667"/>
      <c r="R61" s="667"/>
      <c r="S61" s="667"/>
    </row>
    <row r="62" spans="3:19" s="23" customFormat="1">
      <c r="D62" s="746">
        <v>1</v>
      </c>
      <c r="E62" s="746"/>
      <c r="F62" s="746"/>
      <c r="G62" s="749"/>
      <c r="H62" s="151" t="s">
        <v>153</v>
      </c>
      <c r="I62" s="169">
        <f ca="1">OFFSET(Cost_Ingredients!$M$146,$D62,0)</f>
        <v>0</v>
      </c>
      <c r="J62" s="64">
        <v>0</v>
      </c>
      <c r="L62" s="169">
        <f ca="1">OFFSET(Cost_Ingredients!N$146,$D62,0)*$J62</f>
        <v>0</v>
      </c>
      <c r="M62" s="169">
        <f ca="1">OFFSET(Cost_Ingredients!O$146,$D62,0)*$J62</f>
        <v>0</v>
      </c>
      <c r="N62" s="176">
        <f ca="1">OFFSET(Cost_Ingredients!P$146,$D62,0)*$J62</f>
        <v>0</v>
      </c>
      <c r="O62" s="176">
        <f ca="1">OFFSET(Cost_Ingredients!Q$146,$D62,0)*$J62</f>
        <v>0</v>
      </c>
      <c r="P62" s="667"/>
      <c r="Q62" s="667"/>
      <c r="R62" s="667"/>
      <c r="S62" s="667"/>
    </row>
    <row r="63" spans="3:19" s="23" customFormat="1">
      <c r="D63" s="746">
        <v>1</v>
      </c>
      <c r="E63" s="746"/>
      <c r="F63" s="746"/>
      <c r="G63" s="749"/>
      <c r="H63" s="151" t="s">
        <v>153</v>
      </c>
      <c r="I63" s="169">
        <f ca="1">OFFSET(Cost_Ingredients!$M$146,$D63,0)</f>
        <v>0</v>
      </c>
      <c r="J63" s="64">
        <v>0</v>
      </c>
      <c r="L63" s="169">
        <f ca="1">OFFSET(Cost_Ingredients!N$146,$D63,0)*$J63</f>
        <v>0</v>
      </c>
      <c r="M63" s="169">
        <f ca="1">OFFSET(Cost_Ingredients!O$146,$D63,0)*$J63</f>
        <v>0</v>
      </c>
      <c r="N63" s="176">
        <f ca="1">OFFSET(Cost_Ingredients!P$146,$D63,0)*$J63</f>
        <v>0</v>
      </c>
      <c r="O63" s="176">
        <f ca="1">OFFSET(Cost_Ingredients!Q$146,$D63,0)*$J63</f>
        <v>0</v>
      </c>
      <c r="P63" s="667"/>
      <c r="Q63" s="667"/>
      <c r="R63" s="667"/>
      <c r="S63" s="667"/>
    </row>
    <row r="64" spans="3:19" s="23" customFormat="1">
      <c r="D64" s="746">
        <v>1</v>
      </c>
      <c r="E64" s="746"/>
      <c r="F64" s="746"/>
      <c r="G64" s="749"/>
      <c r="H64" s="151" t="s">
        <v>153</v>
      </c>
      <c r="I64" s="169">
        <f ca="1">OFFSET(Cost_Ingredients!$M$146,$D64,0)</f>
        <v>0</v>
      </c>
      <c r="J64" s="64">
        <v>0</v>
      </c>
      <c r="L64" s="169">
        <f ca="1">OFFSET(Cost_Ingredients!N$146,$D64,0)*$J64</f>
        <v>0</v>
      </c>
      <c r="M64" s="169">
        <f ca="1">OFFSET(Cost_Ingredients!O$146,$D64,0)*$J64</f>
        <v>0</v>
      </c>
      <c r="N64" s="176">
        <f ca="1">OFFSET(Cost_Ingredients!P$146,$D64,0)*$J64</f>
        <v>0</v>
      </c>
      <c r="O64" s="176">
        <f ca="1">OFFSET(Cost_Ingredients!Q$146,$D64,0)*$J64</f>
        <v>0</v>
      </c>
      <c r="P64" s="667"/>
      <c r="Q64" s="667"/>
      <c r="R64" s="667"/>
      <c r="S64" s="667"/>
    </row>
    <row r="65" spans="3:19" s="23" customFormat="1">
      <c r="D65" s="746">
        <v>1</v>
      </c>
      <c r="E65" s="746"/>
      <c r="F65" s="746"/>
      <c r="G65" s="749"/>
      <c r="H65" s="172" t="s">
        <v>153</v>
      </c>
      <c r="I65" s="169">
        <f ca="1">OFFSET(Cost_Ingredients!$M$146,$D65,0)</f>
        <v>0</v>
      </c>
      <c r="J65" s="173">
        <v>0</v>
      </c>
      <c r="L65" s="169">
        <f ca="1">OFFSET(Cost_Ingredients!N$146,$D65,0)*$J65</f>
        <v>0</v>
      </c>
      <c r="M65" s="169">
        <f ca="1">OFFSET(Cost_Ingredients!O$146,$D65,0)*$J65</f>
        <v>0</v>
      </c>
      <c r="N65" s="176">
        <f ca="1">OFFSET(Cost_Ingredients!P$146,$D65,0)*$J65</f>
        <v>0</v>
      </c>
      <c r="O65" s="176">
        <f ca="1">OFFSET(Cost_Ingredients!Q$146,$D65,0)*$J65</f>
        <v>0</v>
      </c>
      <c r="P65" s="745"/>
      <c r="Q65" s="745"/>
      <c r="R65" s="745"/>
      <c r="S65" s="745"/>
    </row>
    <row r="66" spans="3:19" s="23" customFormat="1">
      <c r="D66" s="762" t="s">
        <v>161</v>
      </c>
      <c r="E66" s="762"/>
      <c r="F66" s="762"/>
      <c r="G66" s="762"/>
      <c r="H66" s="156"/>
      <c r="I66" s="156"/>
      <c r="J66" s="69"/>
      <c r="L66" s="59">
        <f ca="1">SUM(L57:L65)</f>
        <v>1700</v>
      </c>
      <c r="M66" s="59">
        <f ca="1">SUM(M57:M65)</f>
        <v>1700</v>
      </c>
      <c r="N66" s="45">
        <f ca="1">SUM(N57:N65)</f>
        <v>11.333333333333332</v>
      </c>
      <c r="O66" s="45">
        <f ca="1">SUM(O57:O65)</f>
        <v>11.333333333333332</v>
      </c>
      <c r="P66" s="156"/>
      <c r="Q66" s="156"/>
      <c r="R66" s="156"/>
      <c r="S66" s="156"/>
    </row>
    <row r="67" spans="3:19" s="23" customFormat="1"/>
    <row r="68" spans="3:19" s="23" customFormat="1" ht="15" thickBot="1">
      <c r="C68" s="178" t="str">
        <f>C9</f>
        <v>Detailed Cost Estimate: Supportive Supervision Visit From National to  PHD (district)</v>
      </c>
      <c r="L68" s="191">
        <f ca="1">SUM(L30,L39,L53,L66)</f>
        <v>19400</v>
      </c>
      <c r="M68" s="191">
        <f ca="1">SUM(M30,M39,M53,M66)</f>
        <v>19401.439999999999</v>
      </c>
      <c r="N68" s="184">
        <f ca="1">SUM(N30,N39,N53,N66)</f>
        <v>129.33333333333334</v>
      </c>
      <c r="O68" s="184">
        <f ca="1">SUM(O30,O39,O53,O66)</f>
        <v>129.34293333333335</v>
      </c>
    </row>
    <row r="69" spans="3:19" s="23" customFormat="1" ht="15" thickTop="1"/>
    <row r="70" spans="3:19" s="23" customFormat="1"/>
    <row r="71" spans="3:19" s="23" customFormat="1">
      <c r="C71" s="160" t="str">
        <f>"Detailed Cost Estimate: "&amp;FLU_LU!$D$372</f>
        <v xml:space="preserve">Detailed Cost Estimate: Supportive Supervision Visit From   PHD (district) to facility </v>
      </c>
    </row>
    <row r="72" spans="3:19" s="23" customFormat="1"/>
    <row r="73" spans="3:19" s="23" customFormat="1">
      <c r="F73" s="68" t="s">
        <v>201</v>
      </c>
      <c r="H73" s="667"/>
      <c r="I73" s="667"/>
      <c r="J73" s="667"/>
      <c r="K73" s="667"/>
      <c r="L73" s="667"/>
      <c r="M73" s="667"/>
      <c r="N73" s="667"/>
      <c r="O73" s="667"/>
      <c r="P73" s="667"/>
    </row>
    <row r="74" spans="3:19" s="23" customFormat="1"/>
    <row r="75" spans="3:19" s="23" customFormat="1">
      <c r="C75" s="160" t="str">
        <f>FLU_LU!$D$278</f>
        <v xml:space="preserve">Personnel </v>
      </c>
    </row>
    <row r="76" spans="3:19" s="23" customFormat="1" ht="43.2">
      <c r="D76" s="733" t="s">
        <v>100</v>
      </c>
      <c r="E76" s="733"/>
      <c r="F76" s="733"/>
      <c r="G76" s="733"/>
      <c r="H76" s="142" t="s">
        <v>274</v>
      </c>
      <c r="I76" s="72" t="s">
        <v>474</v>
      </c>
      <c r="J76" s="152" t="s">
        <v>67</v>
      </c>
      <c r="K76" s="72" t="s">
        <v>475</v>
      </c>
      <c r="L76" s="28" t="str">
        <f>"Financial Price ("&amp;FLU_LU!$D$79&amp;")"</f>
        <v>Financial Price (GOZ)</v>
      </c>
      <c r="M76" s="28" t="str">
        <f>"Economic Price ("&amp;FLU_LU!$D$79&amp;")"</f>
        <v>Economic Price (GOZ)</v>
      </c>
      <c r="N76" s="28" t="str">
        <f>"Financial Price ("&amp;FLU_LU!$D$78&amp;")"</f>
        <v>Financial Price (USD)</v>
      </c>
      <c r="O76" s="28" t="str">
        <f>"Economic Price ("&amp;FLU_LU!$D$78&amp;")"</f>
        <v>Economic Price (USD)</v>
      </c>
      <c r="P76" s="152" t="s">
        <v>68</v>
      </c>
    </row>
    <row r="77" spans="3:19" s="23" customFormat="1">
      <c r="D77" s="746">
        <v>2</v>
      </c>
      <c r="E77" s="746"/>
      <c r="F77" s="746"/>
      <c r="G77" s="749"/>
      <c r="H77" s="151" t="s">
        <v>344</v>
      </c>
      <c r="I77" s="31">
        <v>1</v>
      </c>
      <c r="J77" s="64">
        <v>4</v>
      </c>
      <c r="K77" s="135">
        <f t="shared" ref="K77:K82" si="1">IF(I77=1,J77/FLU_DAYS_PER_MONTH,IF(I77=2,J77/FLU_HOURS_PER_MONTH,J77/FLU_MINUTES_PER_MONTH))</f>
        <v>0.18181818181818182</v>
      </c>
      <c r="L77" s="169">
        <f ca="1">OFFSET(Cost_Ingredients!$N$73,$D77,0)*$K77</f>
        <v>0</v>
      </c>
      <c r="M77" s="169">
        <f ca="1">OFFSET(Cost_Ingredients!$O$73,$D77,0)*$K77</f>
        <v>0</v>
      </c>
      <c r="N77" s="176">
        <f ca="1">OFFSET(Cost_Ingredients!$P$73,$D77,0)*$K77</f>
        <v>0</v>
      </c>
      <c r="O77" s="176">
        <f ca="1">OFFSET(Cost_Ingredients!$Q$73,$D77,0)*$K77</f>
        <v>0</v>
      </c>
      <c r="P77" s="767"/>
      <c r="Q77" s="767"/>
      <c r="R77" s="767"/>
      <c r="S77" s="767"/>
    </row>
    <row r="78" spans="3:19" s="23" customFormat="1">
      <c r="D78" s="746">
        <v>1</v>
      </c>
      <c r="E78" s="746"/>
      <c r="F78" s="746"/>
      <c r="G78" s="749"/>
      <c r="H78" s="151"/>
      <c r="I78" s="31">
        <v>1</v>
      </c>
      <c r="J78" s="64">
        <v>0</v>
      </c>
      <c r="K78" s="135">
        <f t="shared" si="1"/>
        <v>0</v>
      </c>
      <c r="L78" s="169">
        <f ca="1">OFFSET(Cost_Ingredients!$N$73,$D78,0)*$K78</f>
        <v>0</v>
      </c>
      <c r="M78" s="169">
        <f ca="1">OFFSET(Cost_Ingredients!$O$73,$D78,0)*$K78</f>
        <v>0</v>
      </c>
      <c r="N78" s="176">
        <f ca="1">OFFSET(Cost_Ingredients!$P$73,$D78,0)*$K78</f>
        <v>0</v>
      </c>
      <c r="O78" s="176">
        <f ca="1">OFFSET(Cost_Ingredients!$Q$73,$D78,0)*$K78</f>
        <v>0</v>
      </c>
      <c r="P78" s="767"/>
      <c r="Q78" s="767"/>
      <c r="R78" s="767"/>
      <c r="S78" s="767"/>
    </row>
    <row r="79" spans="3:19" s="23" customFormat="1">
      <c r="D79" s="746">
        <v>1</v>
      </c>
      <c r="E79" s="746"/>
      <c r="F79" s="746"/>
      <c r="G79" s="749"/>
      <c r="H79" s="151"/>
      <c r="I79" s="31">
        <v>1</v>
      </c>
      <c r="J79" s="64">
        <v>0</v>
      </c>
      <c r="K79" s="135">
        <f t="shared" si="1"/>
        <v>0</v>
      </c>
      <c r="L79" s="169">
        <f ca="1">OFFSET(Cost_Ingredients!$N$73,$D79,0)*$K79</f>
        <v>0</v>
      </c>
      <c r="M79" s="169">
        <f ca="1">OFFSET(Cost_Ingredients!$O$73,$D79,0)*$K79</f>
        <v>0</v>
      </c>
      <c r="N79" s="176">
        <f ca="1">OFFSET(Cost_Ingredients!$P$73,$D79,0)*$K79</f>
        <v>0</v>
      </c>
      <c r="O79" s="176">
        <f ca="1">OFFSET(Cost_Ingredients!$Q$73,$D79,0)*$K79</f>
        <v>0</v>
      </c>
      <c r="P79" s="767"/>
      <c r="Q79" s="767"/>
      <c r="R79" s="767"/>
      <c r="S79" s="767"/>
    </row>
    <row r="80" spans="3:19" s="23" customFormat="1">
      <c r="D80" s="746">
        <v>1</v>
      </c>
      <c r="E80" s="746"/>
      <c r="F80" s="746"/>
      <c r="G80" s="749"/>
      <c r="H80" s="151"/>
      <c r="I80" s="31">
        <v>1</v>
      </c>
      <c r="J80" s="64">
        <v>0</v>
      </c>
      <c r="K80" s="135">
        <f t="shared" si="1"/>
        <v>0</v>
      </c>
      <c r="L80" s="169">
        <f ca="1">OFFSET(Cost_Ingredients!$N$73,$D80,0)*$K80</f>
        <v>0</v>
      </c>
      <c r="M80" s="169">
        <f ca="1">OFFSET(Cost_Ingredients!$O$73,$D80,0)*$K80</f>
        <v>0</v>
      </c>
      <c r="N80" s="176">
        <f ca="1">OFFSET(Cost_Ingredients!$P$73,$D80,0)*$K80</f>
        <v>0</v>
      </c>
      <c r="O80" s="176">
        <f ca="1">OFFSET(Cost_Ingredients!$Q$73,$D80,0)*$K80</f>
        <v>0</v>
      </c>
      <c r="P80" s="767"/>
      <c r="Q80" s="767"/>
      <c r="R80" s="767"/>
      <c r="S80" s="767"/>
    </row>
    <row r="81" spans="3:19" s="23" customFormat="1">
      <c r="D81" s="746">
        <v>1</v>
      </c>
      <c r="E81" s="746"/>
      <c r="F81" s="746"/>
      <c r="G81" s="749"/>
      <c r="H81" s="151"/>
      <c r="I81" s="31">
        <v>1</v>
      </c>
      <c r="J81" s="64">
        <v>0</v>
      </c>
      <c r="K81" s="135">
        <f t="shared" si="1"/>
        <v>0</v>
      </c>
      <c r="L81" s="169">
        <f ca="1">OFFSET(Cost_Ingredients!$N$73,$D81,0)*$K81</f>
        <v>0</v>
      </c>
      <c r="M81" s="169">
        <f ca="1">OFFSET(Cost_Ingredients!$O$73,$D81,0)*$K81</f>
        <v>0</v>
      </c>
      <c r="N81" s="176">
        <f ca="1">OFFSET(Cost_Ingredients!$P$73,$D81,0)*$K81</f>
        <v>0</v>
      </c>
      <c r="O81" s="176">
        <f ca="1">OFFSET(Cost_Ingredients!$Q$73,$D81,0)*$K81</f>
        <v>0</v>
      </c>
      <c r="P81" s="767"/>
      <c r="Q81" s="767"/>
      <c r="R81" s="767"/>
      <c r="S81" s="767"/>
    </row>
    <row r="82" spans="3:19" s="23" customFormat="1">
      <c r="D82" s="746">
        <v>1</v>
      </c>
      <c r="E82" s="746"/>
      <c r="F82" s="746"/>
      <c r="G82" s="749"/>
      <c r="H82" s="172"/>
      <c r="I82" s="31">
        <v>1</v>
      </c>
      <c r="J82" s="173">
        <v>0</v>
      </c>
      <c r="K82" s="135">
        <f t="shared" si="1"/>
        <v>0</v>
      </c>
      <c r="L82" s="169">
        <f ca="1">OFFSET(Cost_Ingredients!$N$73,$D82,0)*$K82</f>
        <v>0</v>
      </c>
      <c r="M82" s="169">
        <f ca="1">OFFSET(Cost_Ingredients!$O$73,$D82,0)*$K82</f>
        <v>0</v>
      </c>
      <c r="N82" s="176">
        <f ca="1">OFFSET(Cost_Ingredients!$P$73,$D82,0)*$K82</f>
        <v>0</v>
      </c>
      <c r="O82" s="176">
        <f ca="1">OFFSET(Cost_Ingredients!$Q$73,$D82,0)*$K82</f>
        <v>0</v>
      </c>
      <c r="P82" s="768"/>
      <c r="Q82" s="768"/>
      <c r="R82" s="768"/>
      <c r="S82" s="768"/>
    </row>
    <row r="83" spans="3:19" s="23" customFormat="1" ht="15" thickBot="1">
      <c r="D83" s="759" t="s">
        <v>161</v>
      </c>
      <c r="E83" s="759"/>
      <c r="F83" s="759"/>
      <c r="G83" s="759"/>
      <c r="H83" s="157"/>
      <c r="I83" s="55"/>
      <c r="J83" s="71"/>
      <c r="K83" s="194"/>
      <c r="L83" s="39">
        <f ca="1">SUM(L77:L82)</f>
        <v>0</v>
      </c>
      <c r="M83" s="39">
        <f ca="1">SUM(M77:M82)</f>
        <v>0</v>
      </c>
      <c r="N83" s="73">
        <f ca="1">SUM(N77:N82)</f>
        <v>0</v>
      </c>
      <c r="O83" s="73">
        <f ca="1">SUM(O77:O82)</f>
        <v>0</v>
      </c>
      <c r="P83" s="157"/>
      <c r="Q83" s="157"/>
      <c r="R83" s="157"/>
      <c r="S83" s="157"/>
    </row>
    <row r="84" spans="3:19" s="23" customFormat="1"/>
    <row r="85" spans="3:19" s="23" customFormat="1">
      <c r="C85" s="153" t="str">
        <f>FLU_LU!$D$279</f>
        <v>Allowances</v>
      </c>
    </row>
    <row r="86" spans="3:19" s="23" customFormat="1" ht="28.8">
      <c r="D86" s="733" t="s">
        <v>100</v>
      </c>
      <c r="E86" s="733"/>
      <c r="F86" s="733"/>
      <c r="G86" s="733"/>
      <c r="H86" s="142" t="s">
        <v>101</v>
      </c>
      <c r="J86" s="152" t="s">
        <v>67</v>
      </c>
      <c r="L86" s="28" t="str">
        <f>"Financial Price ("&amp;FLU_LU!$D$79&amp;")"</f>
        <v>Financial Price (GOZ)</v>
      </c>
      <c r="M86" s="28" t="str">
        <f>"Economic Price ("&amp;FLU_LU!$D$79&amp;")"</f>
        <v>Economic Price (GOZ)</v>
      </c>
      <c r="N86" s="28" t="str">
        <f>"Financial Price ("&amp;FLU_LU!$D$78&amp;")"</f>
        <v>Financial Price (USD)</v>
      </c>
      <c r="O86" s="28" t="str">
        <f>"Economic Price ("&amp;FLU_LU!$D$78&amp;")"</f>
        <v>Economic Price (USD)</v>
      </c>
      <c r="P86" s="152" t="s">
        <v>68</v>
      </c>
    </row>
    <row r="87" spans="3:19" s="23" customFormat="1">
      <c r="D87" s="746">
        <v>10</v>
      </c>
      <c r="E87" s="746"/>
      <c r="F87" s="746"/>
      <c r="G87" s="749"/>
      <c r="H87" s="667"/>
      <c r="I87" s="667"/>
      <c r="J87" s="64">
        <v>2</v>
      </c>
      <c r="L87" s="169">
        <f ca="1">OFFSET(Cost_Ingredients!N$103,$D87,0)*$J87</f>
        <v>0</v>
      </c>
      <c r="M87" s="169">
        <f ca="1">OFFSET(Cost_Ingredients!O$103,$D87,0)*$J87</f>
        <v>0</v>
      </c>
      <c r="N87" s="176">
        <f ca="1">OFFSET(Cost_Ingredients!P$103,$D87,0)*$J87</f>
        <v>0</v>
      </c>
      <c r="O87" s="176">
        <f ca="1">OFFSET(Cost_Ingredients!Q$103,$D87,0)*$J87</f>
        <v>0</v>
      </c>
      <c r="P87" s="667"/>
      <c r="Q87" s="667"/>
      <c r="R87" s="667"/>
      <c r="S87" s="667"/>
    </row>
    <row r="88" spans="3:19" s="23" customFormat="1">
      <c r="D88" s="746">
        <v>1</v>
      </c>
      <c r="E88" s="746"/>
      <c r="F88" s="746"/>
      <c r="G88" s="749"/>
      <c r="H88" s="667"/>
      <c r="I88" s="667"/>
      <c r="J88" s="64"/>
      <c r="L88" s="169">
        <f ca="1">OFFSET(Cost_Ingredients!N$103,$D88,0)*$J88</f>
        <v>0</v>
      </c>
      <c r="M88" s="169">
        <f ca="1">OFFSET(Cost_Ingredients!O$103,$D88,0)*$J88</f>
        <v>0</v>
      </c>
      <c r="N88" s="176">
        <f ca="1">OFFSET(Cost_Ingredients!P$103,$D88,0)*$J88</f>
        <v>0</v>
      </c>
      <c r="O88" s="176">
        <f ca="1">OFFSET(Cost_Ingredients!Q$103,$D88,0)*$J88</f>
        <v>0</v>
      </c>
      <c r="P88" s="667"/>
      <c r="Q88" s="667"/>
      <c r="R88" s="667"/>
      <c r="S88" s="667"/>
    </row>
    <row r="89" spans="3:19" s="23" customFormat="1">
      <c r="D89" s="746">
        <v>1</v>
      </c>
      <c r="E89" s="746"/>
      <c r="F89" s="746"/>
      <c r="G89" s="749"/>
      <c r="H89" s="667"/>
      <c r="I89" s="667"/>
      <c r="J89" s="64">
        <v>0</v>
      </c>
      <c r="L89" s="169">
        <f ca="1">OFFSET(Cost_Ingredients!N$103,$D89,0)*$J89</f>
        <v>0</v>
      </c>
      <c r="M89" s="169">
        <f ca="1">OFFSET(Cost_Ingredients!O$103,$D89,0)*$J89</f>
        <v>0</v>
      </c>
      <c r="N89" s="176">
        <f ca="1">OFFSET(Cost_Ingredients!P$103,$D89,0)*$J89</f>
        <v>0</v>
      </c>
      <c r="O89" s="176">
        <f ca="1">OFFSET(Cost_Ingredients!Q$103,$D89,0)*$J89</f>
        <v>0</v>
      </c>
      <c r="P89" s="667"/>
      <c r="Q89" s="667"/>
      <c r="R89" s="667"/>
      <c r="S89" s="667"/>
    </row>
    <row r="90" spans="3:19" s="23" customFormat="1">
      <c r="D90" s="746">
        <v>1</v>
      </c>
      <c r="E90" s="746"/>
      <c r="F90" s="746"/>
      <c r="G90" s="749"/>
      <c r="H90" s="667"/>
      <c r="I90" s="667"/>
      <c r="J90" s="64"/>
      <c r="L90" s="169">
        <f ca="1">OFFSET(Cost_Ingredients!N$103,$D90,0)*$J90</f>
        <v>0</v>
      </c>
      <c r="M90" s="169">
        <f ca="1">OFFSET(Cost_Ingredients!O$103,$D90,0)*$J90</f>
        <v>0</v>
      </c>
      <c r="N90" s="176">
        <f ca="1">OFFSET(Cost_Ingredients!P$103,$D90,0)*$J90</f>
        <v>0</v>
      </c>
      <c r="O90" s="176">
        <f ca="1">OFFSET(Cost_Ingredients!Q$103,$D90,0)*$J90</f>
        <v>0</v>
      </c>
      <c r="P90" s="667"/>
      <c r="Q90" s="667"/>
      <c r="R90" s="667"/>
      <c r="S90" s="667"/>
    </row>
    <row r="91" spans="3:19" s="23" customFormat="1">
      <c r="D91" s="746">
        <v>1</v>
      </c>
      <c r="E91" s="746"/>
      <c r="F91" s="746"/>
      <c r="G91" s="749"/>
      <c r="H91" s="667"/>
      <c r="I91" s="667"/>
      <c r="J91" s="64">
        <v>0</v>
      </c>
      <c r="L91" s="169">
        <f ca="1">OFFSET(Cost_Ingredients!N$103,$D91,0)*$J91</f>
        <v>0</v>
      </c>
      <c r="M91" s="169">
        <f ca="1">OFFSET(Cost_Ingredients!O$103,$D91,0)*$J91</f>
        <v>0</v>
      </c>
      <c r="N91" s="176">
        <f ca="1">OFFSET(Cost_Ingredients!P$103,$D91,0)*$J91</f>
        <v>0</v>
      </c>
      <c r="O91" s="176">
        <f ca="1">OFFSET(Cost_Ingredients!Q$103,$D91,0)*$J91</f>
        <v>0</v>
      </c>
      <c r="P91" s="667"/>
      <c r="Q91" s="667"/>
      <c r="R91" s="667"/>
      <c r="S91" s="667"/>
    </row>
    <row r="92" spans="3:19" s="23" customFormat="1">
      <c r="D92" s="746">
        <v>1</v>
      </c>
      <c r="E92" s="746"/>
      <c r="F92" s="746"/>
      <c r="G92" s="749"/>
      <c r="H92" s="745"/>
      <c r="I92" s="745"/>
      <c r="J92" s="173">
        <v>0</v>
      </c>
      <c r="L92" s="169">
        <f ca="1">OFFSET(Cost_Ingredients!N$103,$D92,0)*$J92</f>
        <v>0</v>
      </c>
      <c r="M92" s="169">
        <f ca="1">OFFSET(Cost_Ingredients!O$103,$D92,0)*$J92</f>
        <v>0</v>
      </c>
      <c r="N92" s="176">
        <f ca="1">OFFSET(Cost_Ingredients!P$103,$D92,0)*$J92</f>
        <v>0</v>
      </c>
      <c r="O92" s="176">
        <f ca="1">OFFSET(Cost_Ingredients!Q$103,$D92,0)*$J92</f>
        <v>0</v>
      </c>
      <c r="P92" s="745"/>
      <c r="Q92" s="745"/>
      <c r="R92" s="745"/>
      <c r="S92" s="745"/>
    </row>
    <row r="93" spans="3:19" s="23" customFormat="1" ht="15" thickBot="1">
      <c r="D93" s="759" t="s">
        <v>161</v>
      </c>
      <c r="E93" s="759"/>
      <c r="F93" s="759"/>
      <c r="G93" s="759"/>
      <c r="H93" s="157"/>
      <c r="I93" s="157"/>
      <c r="J93" s="71"/>
      <c r="L93" s="24">
        <f ca="1">SUM(L87:L92)</f>
        <v>0</v>
      </c>
      <c r="M93" s="24">
        <f ca="1">SUM(M87:M92)</f>
        <v>0</v>
      </c>
      <c r="N93" s="25">
        <f ca="1">SUM(N87:N92)</f>
        <v>0</v>
      </c>
      <c r="O93" s="25">
        <f ca="1">SUM(O87:O92)</f>
        <v>0</v>
      </c>
      <c r="P93" s="157"/>
      <c r="Q93" s="157"/>
      <c r="R93" s="157"/>
      <c r="S93" s="157"/>
    </row>
    <row r="94" spans="3:19" s="23" customFormat="1"/>
    <row r="95" spans="3:19" s="23" customFormat="1">
      <c r="C95" s="153" t="str">
        <f>FLU_LU!$D$280</f>
        <v>Supplies &amp; Materials</v>
      </c>
    </row>
    <row r="96" spans="3:19" s="23" customFormat="1" ht="28.8">
      <c r="D96" s="733" t="s">
        <v>100</v>
      </c>
      <c r="E96" s="733"/>
      <c r="F96" s="733"/>
      <c r="G96" s="733"/>
      <c r="H96" s="142" t="s">
        <v>101</v>
      </c>
      <c r="I96" s="152" t="s">
        <v>63</v>
      </c>
      <c r="J96" s="152" t="s">
        <v>67</v>
      </c>
      <c r="L96" s="28" t="str">
        <f>"Financial Price ("&amp;FLU_LU!$D$79&amp;")"</f>
        <v>Financial Price (GOZ)</v>
      </c>
      <c r="M96" s="28" t="str">
        <f>"Economic Price ("&amp;FLU_LU!$D$79&amp;")"</f>
        <v>Economic Price (GOZ)</v>
      </c>
      <c r="N96" s="28" t="str">
        <f>"Financial Price ("&amp;FLU_LU!$D$78&amp;")"</f>
        <v>Financial Price (USD)</v>
      </c>
      <c r="O96" s="28" t="str">
        <f>"Economic Price ("&amp;FLU_LU!$D$78&amp;")"</f>
        <v>Economic Price (USD)</v>
      </c>
      <c r="P96" s="152" t="s">
        <v>68</v>
      </c>
    </row>
    <row r="97" spans="3:19" s="23" customFormat="1">
      <c r="D97" s="746">
        <v>8</v>
      </c>
      <c r="E97" s="746"/>
      <c r="F97" s="746"/>
      <c r="G97" s="749"/>
      <c r="H97" s="151"/>
      <c r="I97" s="169" t="str">
        <f ca="1">OFFSET(Cost_Ingredients!$M$117,$D97,0)</f>
        <v>1 entry</v>
      </c>
      <c r="J97" s="64"/>
      <c r="L97" s="169">
        <f ca="1">OFFSET(Cost_Ingredients!N$117,$D97,0)*$J97</f>
        <v>0</v>
      </c>
      <c r="M97" s="169">
        <f ca="1">OFFSET(Cost_Ingredients!O$117,$D97,0)*$J97</f>
        <v>0</v>
      </c>
      <c r="N97" s="176">
        <f ca="1">OFFSET(Cost_Ingredients!P$117,$D97,0)*$J97</f>
        <v>0</v>
      </c>
      <c r="O97" s="176">
        <f ca="1">OFFSET(Cost_Ingredients!Q$117,$D97,0)*$J97</f>
        <v>0</v>
      </c>
      <c r="P97" s="667"/>
      <c r="Q97" s="667"/>
      <c r="R97" s="667"/>
      <c r="S97" s="667"/>
    </row>
    <row r="98" spans="3:19" s="23" customFormat="1">
      <c r="D98" s="746">
        <v>1</v>
      </c>
      <c r="E98" s="746"/>
      <c r="F98" s="746"/>
      <c r="G98" s="749"/>
      <c r="H98" s="151"/>
      <c r="I98" s="169">
        <f ca="1">OFFSET(Cost_Ingredients!$M$117,$D98,0)</f>
        <v>0</v>
      </c>
      <c r="J98" s="64">
        <v>0</v>
      </c>
      <c r="L98" s="169">
        <f ca="1">OFFSET(Cost_Ingredients!N$117,$D98,0)*$J98</f>
        <v>0</v>
      </c>
      <c r="M98" s="169">
        <f ca="1">OFFSET(Cost_Ingredients!O$117,$D98,0)*$J98</f>
        <v>0</v>
      </c>
      <c r="N98" s="176">
        <f ca="1">OFFSET(Cost_Ingredients!P$117,$D98,0)*$J98</f>
        <v>0</v>
      </c>
      <c r="O98" s="176">
        <f ca="1">OFFSET(Cost_Ingredients!Q$117,$D98,0)*$J98</f>
        <v>0</v>
      </c>
      <c r="P98" s="667"/>
      <c r="Q98" s="667"/>
      <c r="R98" s="667"/>
      <c r="S98" s="667"/>
    </row>
    <row r="99" spans="3:19" s="23" customFormat="1">
      <c r="D99" s="746">
        <v>1</v>
      </c>
      <c r="E99" s="746"/>
      <c r="F99" s="746"/>
      <c r="G99" s="749"/>
      <c r="H99" s="151"/>
      <c r="I99" s="169">
        <f ca="1">OFFSET(Cost_Ingredients!$M$117,$D99,0)</f>
        <v>0</v>
      </c>
      <c r="J99" s="64">
        <v>0</v>
      </c>
      <c r="L99" s="169">
        <f ca="1">OFFSET(Cost_Ingredients!N$117,$D99,0)*$J99</f>
        <v>0</v>
      </c>
      <c r="M99" s="169">
        <f ca="1">OFFSET(Cost_Ingredients!O$117,$D99,0)*$J99</f>
        <v>0</v>
      </c>
      <c r="N99" s="176">
        <f ca="1">OFFSET(Cost_Ingredients!P$117,$D99,0)*$J99</f>
        <v>0</v>
      </c>
      <c r="O99" s="176">
        <f ca="1">OFFSET(Cost_Ingredients!Q$117,$D99,0)*$J99</f>
        <v>0</v>
      </c>
      <c r="P99" s="667"/>
      <c r="Q99" s="667"/>
      <c r="R99" s="667"/>
      <c r="S99" s="667"/>
    </row>
    <row r="100" spans="3:19" s="23" customFormat="1">
      <c r="D100" s="746">
        <v>1</v>
      </c>
      <c r="E100" s="746"/>
      <c r="F100" s="746"/>
      <c r="G100" s="749"/>
      <c r="H100" s="151"/>
      <c r="I100" s="169">
        <f ca="1">OFFSET(Cost_Ingredients!$M$117,$D100,0)</f>
        <v>0</v>
      </c>
      <c r="J100" s="64">
        <v>0</v>
      </c>
      <c r="L100" s="169">
        <f ca="1">OFFSET(Cost_Ingredients!N$117,$D100,0)*$J100</f>
        <v>0</v>
      </c>
      <c r="M100" s="169">
        <f ca="1">OFFSET(Cost_Ingredients!O$117,$D100,0)*$J100</f>
        <v>0</v>
      </c>
      <c r="N100" s="176">
        <f ca="1">OFFSET(Cost_Ingredients!P$117,$D100,0)*$J100</f>
        <v>0</v>
      </c>
      <c r="O100" s="176">
        <f ca="1">OFFSET(Cost_Ingredients!Q$117,$D100,0)*$J100</f>
        <v>0</v>
      </c>
      <c r="P100" s="667"/>
      <c r="Q100" s="667"/>
      <c r="R100" s="667"/>
      <c r="S100" s="667"/>
    </row>
    <row r="101" spans="3:19" s="23" customFormat="1">
      <c r="D101" s="746">
        <v>1</v>
      </c>
      <c r="E101" s="746"/>
      <c r="F101" s="746"/>
      <c r="G101" s="749"/>
      <c r="H101" s="151"/>
      <c r="I101" s="169">
        <f ca="1">OFFSET(Cost_Ingredients!$M$117,$D101,0)</f>
        <v>0</v>
      </c>
      <c r="J101" s="64">
        <v>0</v>
      </c>
      <c r="L101" s="169">
        <f ca="1">OFFSET(Cost_Ingredients!N$117,$D101,0)*$J101</f>
        <v>0</v>
      </c>
      <c r="M101" s="169">
        <f ca="1">OFFSET(Cost_Ingredients!O$117,$D101,0)*$J101</f>
        <v>0</v>
      </c>
      <c r="N101" s="176">
        <f ca="1">OFFSET(Cost_Ingredients!P$117,$D101,0)*$J101</f>
        <v>0</v>
      </c>
      <c r="O101" s="176">
        <f ca="1">OFFSET(Cost_Ingredients!Q$117,$D101,0)*$J101</f>
        <v>0</v>
      </c>
      <c r="P101" s="667"/>
      <c r="Q101" s="667"/>
      <c r="R101" s="667"/>
      <c r="S101" s="667"/>
    </row>
    <row r="102" spans="3:19" s="23" customFormat="1">
      <c r="D102" s="746">
        <v>1</v>
      </c>
      <c r="E102" s="746"/>
      <c r="F102" s="746"/>
      <c r="G102" s="749"/>
      <c r="H102" s="151"/>
      <c r="I102" s="169">
        <f ca="1">OFFSET(Cost_Ingredients!$M$117,$D102,0)</f>
        <v>0</v>
      </c>
      <c r="J102" s="64">
        <v>0</v>
      </c>
      <c r="L102" s="169">
        <f ca="1">OFFSET(Cost_Ingredients!N$117,$D102,0)*$J102</f>
        <v>0</v>
      </c>
      <c r="M102" s="169">
        <f ca="1">OFFSET(Cost_Ingredients!O$117,$D102,0)*$J102</f>
        <v>0</v>
      </c>
      <c r="N102" s="176">
        <f ca="1">OFFSET(Cost_Ingredients!P$117,$D102,0)*$J102</f>
        <v>0</v>
      </c>
      <c r="O102" s="176">
        <f ca="1">OFFSET(Cost_Ingredients!Q$117,$D102,0)*$J102</f>
        <v>0</v>
      </c>
      <c r="P102" s="667"/>
      <c r="Q102" s="667"/>
      <c r="R102" s="667"/>
      <c r="S102" s="667"/>
    </row>
    <row r="103" spans="3:19" s="23" customFormat="1">
      <c r="D103" s="746">
        <v>1</v>
      </c>
      <c r="E103" s="746"/>
      <c r="F103" s="746"/>
      <c r="G103" s="749"/>
      <c r="H103" s="151"/>
      <c r="I103" s="169">
        <f ca="1">OFFSET(Cost_Ingredients!$M$117,$D103,0)</f>
        <v>0</v>
      </c>
      <c r="J103" s="64">
        <v>0</v>
      </c>
      <c r="L103" s="169">
        <f ca="1">OFFSET(Cost_Ingredients!N$117,$D103,0)*$J103</f>
        <v>0</v>
      </c>
      <c r="M103" s="169">
        <f ca="1">OFFSET(Cost_Ingredients!O$117,$D103,0)*$J103</f>
        <v>0</v>
      </c>
      <c r="N103" s="176">
        <f ca="1">OFFSET(Cost_Ingredients!P$117,$D103,0)*$J103</f>
        <v>0</v>
      </c>
      <c r="O103" s="176">
        <f ca="1">OFFSET(Cost_Ingredients!Q$117,$D103,0)*$J103</f>
        <v>0</v>
      </c>
      <c r="P103" s="667"/>
      <c r="Q103" s="667"/>
      <c r="R103" s="667"/>
      <c r="S103" s="667"/>
    </row>
    <row r="104" spans="3:19" s="23" customFormat="1">
      <c r="D104" s="746">
        <v>1</v>
      </c>
      <c r="E104" s="746"/>
      <c r="F104" s="746"/>
      <c r="G104" s="749"/>
      <c r="H104" s="151"/>
      <c r="I104" s="169">
        <f ca="1">OFFSET(Cost_Ingredients!$M$117,$D104,0)</f>
        <v>0</v>
      </c>
      <c r="J104" s="64">
        <v>0</v>
      </c>
      <c r="L104" s="169">
        <f ca="1">OFFSET(Cost_Ingredients!N$117,$D104,0)*$J104</f>
        <v>0</v>
      </c>
      <c r="M104" s="169">
        <f ca="1">OFFSET(Cost_Ingredients!O$117,$D104,0)*$J104</f>
        <v>0</v>
      </c>
      <c r="N104" s="176">
        <f ca="1">OFFSET(Cost_Ingredients!P$117,$D104,0)*$J104</f>
        <v>0</v>
      </c>
      <c r="O104" s="176">
        <f ca="1">OFFSET(Cost_Ingredients!Q$117,$D104,0)*$J104</f>
        <v>0</v>
      </c>
      <c r="P104" s="667"/>
      <c r="Q104" s="667"/>
      <c r="R104" s="667"/>
      <c r="S104" s="667"/>
    </row>
    <row r="105" spans="3:19" s="23" customFormat="1">
      <c r="D105" s="746">
        <v>1</v>
      </c>
      <c r="E105" s="746"/>
      <c r="F105" s="746"/>
      <c r="G105" s="749"/>
      <c r="H105" s="151"/>
      <c r="I105" s="169">
        <f ca="1">OFFSET(Cost_Ingredients!$M$117,$D105,0)</f>
        <v>0</v>
      </c>
      <c r="J105" s="64">
        <v>0</v>
      </c>
      <c r="L105" s="169">
        <f ca="1">OFFSET(Cost_Ingredients!N$117,$D105,0)*$J105</f>
        <v>0</v>
      </c>
      <c r="M105" s="169">
        <f ca="1">OFFSET(Cost_Ingredients!O$117,$D105,0)*$J105</f>
        <v>0</v>
      </c>
      <c r="N105" s="176">
        <f ca="1">OFFSET(Cost_Ingredients!P$117,$D105,0)*$J105</f>
        <v>0</v>
      </c>
      <c r="O105" s="176">
        <f ca="1">OFFSET(Cost_Ingredients!Q$117,$D105,0)*$J105</f>
        <v>0</v>
      </c>
      <c r="P105" s="667"/>
      <c r="Q105" s="667"/>
      <c r="R105" s="667"/>
      <c r="S105" s="667"/>
    </row>
    <row r="106" spans="3:19" s="23" customFormat="1">
      <c r="D106" s="746">
        <v>1</v>
      </c>
      <c r="E106" s="746"/>
      <c r="F106" s="746"/>
      <c r="G106" s="749"/>
      <c r="H106" s="172"/>
      <c r="I106" s="169">
        <f ca="1">OFFSET(Cost_Ingredients!$M$117,$D106,0)</f>
        <v>0</v>
      </c>
      <c r="J106" s="173">
        <v>0</v>
      </c>
      <c r="L106" s="169">
        <f ca="1">OFFSET(Cost_Ingredients!N$117,$D106,0)*$J106</f>
        <v>0</v>
      </c>
      <c r="M106" s="169">
        <f ca="1">OFFSET(Cost_Ingredients!O$117,$D106,0)*$J106</f>
        <v>0</v>
      </c>
      <c r="N106" s="176">
        <f ca="1">OFFSET(Cost_Ingredients!P$117,$D106,0)*$J106</f>
        <v>0</v>
      </c>
      <c r="O106" s="176">
        <f ca="1">OFFSET(Cost_Ingredients!Q$117,$D106,0)*$J106</f>
        <v>0</v>
      </c>
      <c r="P106" s="745"/>
      <c r="Q106" s="745"/>
      <c r="R106" s="745"/>
      <c r="S106" s="745"/>
    </row>
    <row r="107" spans="3:19" s="23" customFormat="1" ht="15" thickBot="1">
      <c r="D107" s="759" t="s">
        <v>161</v>
      </c>
      <c r="E107" s="759"/>
      <c r="F107" s="759"/>
      <c r="G107" s="759"/>
      <c r="H107" s="157"/>
      <c r="I107" s="177">
        <f ca="1">SUM(I97:I106)</f>
        <v>0</v>
      </c>
      <c r="J107" s="177">
        <f>SUM(J97:J106)</f>
        <v>0</v>
      </c>
      <c r="L107" s="24">
        <f ca="1">SUM(L97:L106)</f>
        <v>0</v>
      </c>
      <c r="M107" s="24">
        <f ca="1">SUM(M97:M106)</f>
        <v>0</v>
      </c>
      <c r="N107" s="25">
        <f ca="1">SUM(N97:N106)</f>
        <v>0</v>
      </c>
      <c r="O107" s="25">
        <f ca="1">SUM(O97:O106)</f>
        <v>0</v>
      </c>
      <c r="P107" s="157"/>
      <c r="Q107" s="157"/>
      <c r="R107" s="157"/>
      <c r="S107" s="157"/>
    </row>
    <row r="108" spans="3:19" s="23" customFormat="1"/>
    <row r="109" spans="3:19" s="23" customFormat="1">
      <c r="C109" s="153" t="str">
        <f>FLU_LU!$D$281</f>
        <v>Other Direct Costs (Recurrent)</v>
      </c>
    </row>
    <row r="110" spans="3:19" s="23" customFormat="1" ht="28.8">
      <c r="D110" s="733" t="s">
        <v>100</v>
      </c>
      <c r="E110" s="733"/>
      <c r="F110" s="733"/>
      <c r="G110" s="733"/>
      <c r="H110" s="142" t="s">
        <v>101</v>
      </c>
      <c r="I110" s="152" t="s">
        <v>63</v>
      </c>
      <c r="J110" s="152" t="s">
        <v>67</v>
      </c>
      <c r="L110" s="28" t="str">
        <f>"Financial Price ("&amp;FLU_LU!$D$79&amp;")"</f>
        <v>Financial Price (GOZ)</v>
      </c>
      <c r="M110" s="28" t="str">
        <f>"Economic Price ("&amp;FLU_LU!$D$79&amp;")"</f>
        <v>Economic Price (GOZ)</v>
      </c>
      <c r="N110" s="28" t="str">
        <f>"Financial Price ("&amp;FLU_LU!$D$78&amp;")"</f>
        <v>Financial Price (USD)</v>
      </c>
      <c r="O110" s="28" t="str">
        <f>"Economic Price ("&amp;FLU_LU!$D$78&amp;")"</f>
        <v>Economic Price (USD)</v>
      </c>
      <c r="P110" s="152" t="s">
        <v>68</v>
      </c>
    </row>
    <row r="111" spans="3:19" s="23" customFormat="1">
      <c r="D111" s="746">
        <v>6</v>
      </c>
      <c r="E111" s="746"/>
      <c r="F111" s="746"/>
      <c r="G111" s="749"/>
      <c r="H111" s="151"/>
      <c r="I111" s="169">
        <f ca="1">OFFSET(Cost_Ingredients!$M$146,$D111,0)</f>
        <v>0</v>
      </c>
      <c r="J111" s="64">
        <v>1</v>
      </c>
      <c r="L111" s="169">
        <f ca="1">OFFSET(Cost_Ingredients!N$146,$D111,0)*$J111</f>
        <v>0</v>
      </c>
      <c r="M111" s="169">
        <f ca="1">OFFSET(Cost_Ingredients!O$146,$D111,0)*$J111</f>
        <v>0</v>
      </c>
      <c r="N111" s="176">
        <f ca="1">OFFSET(Cost_Ingredients!P$146,$D111,0)*$J111</f>
        <v>0</v>
      </c>
      <c r="O111" s="176">
        <f ca="1">OFFSET(Cost_Ingredients!Q$146,$D111,0)*$J111</f>
        <v>0</v>
      </c>
      <c r="P111" s="667"/>
      <c r="Q111" s="667"/>
      <c r="R111" s="667"/>
      <c r="S111" s="667"/>
    </row>
    <row r="112" spans="3:19" s="23" customFormat="1">
      <c r="D112" s="746">
        <v>2</v>
      </c>
      <c r="E112" s="746"/>
      <c r="F112" s="746"/>
      <c r="G112" s="749"/>
      <c r="H112" s="151"/>
      <c r="I112" s="169" t="str">
        <f ca="1">OFFSET(Cost_Ingredients!$M$146,$D112,0)</f>
        <v>litre</v>
      </c>
      <c r="J112" s="64">
        <v>50</v>
      </c>
      <c r="L112" s="169">
        <f ca="1">OFFSET(Cost_Ingredients!N$146,$D112,0)*$J112</f>
        <v>8500</v>
      </c>
      <c r="M112" s="169">
        <f ca="1">OFFSET(Cost_Ingredients!O$146,$D112,0)*$J112</f>
        <v>8500</v>
      </c>
      <c r="N112" s="176">
        <f ca="1">OFFSET(Cost_Ingredients!P$146,$D112,0)*$J112</f>
        <v>56.666666666666664</v>
      </c>
      <c r="O112" s="176">
        <f ca="1">OFFSET(Cost_Ingredients!Q$146,$D112,0)*$J112</f>
        <v>56.666666666666664</v>
      </c>
      <c r="P112" s="667"/>
      <c r="Q112" s="667"/>
      <c r="R112" s="667"/>
      <c r="S112" s="667"/>
    </row>
    <row r="113" spans="3:19" s="23" customFormat="1">
      <c r="D113" s="746">
        <v>1</v>
      </c>
      <c r="E113" s="746"/>
      <c r="F113" s="746"/>
      <c r="G113" s="749"/>
      <c r="H113" s="151"/>
      <c r="I113" s="169">
        <f ca="1">OFFSET(Cost_Ingredients!$M$146,$D113,0)</f>
        <v>0</v>
      </c>
      <c r="J113" s="64">
        <v>0</v>
      </c>
      <c r="L113" s="169">
        <f ca="1">OFFSET(Cost_Ingredients!N$146,$D113,0)*$J113</f>
        <v>0</v>
      </c>
      <c r="M113" s="169">
        <f ca="1">OFFSET(Cost_Ingredients!O$146,$D113,0)*$J113</f>
        <v>0</v>
      </c>
      <c r="N113" s="176">
        <f ca="1">OFFSET(Cost_Ingredients!P$146,$D113,0)*$J113</f>
        <v>0</v>
      </c>
      <c r="O113" s="176">
        <f ca="1">OFFSET(Cost_Ingredients!Q$146,$D113,0)*$J113</f>
        <v>0</v>
      </c>
      <c r="P113" s="667"/>
      <c r="Q113" s="667"/>
      <c r="R113" s="667"/>
      <c r="S113" s="667"/>
    </row>
    <row r="114" spans="3:19" s="23" customFormat="1">
      <c r="D114" s="746">
        <v>1</v>
      </c>
      <c r="E114" s="746"/>
      <c r="F114" s="746"/>
      <c r="G114" s="749"/>
      <c r="H114" s="151"/>
      <c r="I114" s="169">
        <f ca="1">OFFSET(Cost_Ingredients!$M$146,$D114,0)</f>
        <v>0</v>
      </c>
      <c r="J114" s="64">
        <v>0</v>
      </c>
      <c r="L114" s="169">
        <f ca="1">OFFSET(Cost_Ingredients!N$146,$D114,0)*$J114</f>
        <v>0</v>
      </c>
      <c r="M114" s="169">
        <f ca="1">OFFSET(Cost_Ingredients!O$146,$D114,0)*$J114</f>
        <v>0</v>
      </c>
      <c r="N114" s="176">
        <f ca="1">OFFSET(Cost_Ingredients!P$146,$D114,0)*$J114</f>
        <v>0</v>
      </c>
      <c r="O114" s="176">
        <f ca="1">OFFSET(Cost_Ingredients!Q$146,$D114,0)*$J114</f>
        <v>0</v>
      </c>
      <c r="P114" s="667"/>
      <c r="Q114" s="667"/>
      <c r="R114" s="667"/>
      <c r="S114" s="667"/>
    </row>
    <row r="115" spans="3:19" s="23" customFormat="1">
      <c r="D115" s="746">
        <v>1</v>
      </c>
      <c r="E115" s="746"/>
      <c r="F115" s="746"/>
      <c r="G115" s="749"/>
      <c r="H115" s="151"/>
      <c r="I115" s="169">
        <f ca="1">OFFSET(Cost_Ingredients!$M$146,$D115,0)</f>
        <v>0</v>
      </c>
      <c r="J115" s="64">
        <v>0</v>
      </c>
      <c r="L115" s="169">
        <f ca="1">OFFSET(Cost_Ingredients!N$146,$D115,0)*$J115</f>
        <v>0</v>
      </c>
      <c r="M115" s="169">
        <f ca="1">OFFSET(Cost_Ingredients!O$146,$D115,0)*$J115</f>
        <v>0</v>
      </c>
      <c r="N115" s="176">
        <f ca="1">OFFSET(Cost_Ingredients!P$146,$D115,0)*$J115</f>
        <v>0</v>
      </c>
      <c r="O115" s="176">
        <f ca="1">OFFSET(Cost_Ingredients!Q$146,$D115,0)*$J115</f>
        <v>0</v>
      </c>
      <c r="P115" s="667"/>
      <c r="Q115" s="667"/>
      <c r="R115" s="667"/>
      <c r="S115" s="667"/>
    </row>
    <row r="116" spans="3:19" s="23" customFormat="1">
      <c r="D116" s="746">
        <v>1</v>
      </c>
      <c r="E116" s="746"/>
      <c r="F116" s="746"/>
      <c r="G116" s="749"/>
      <c r="H116" s="151"/>
      <c r="I116" s="169">
        <f ca="1">OFFSET(Cost_Ingredients!$M$146,$D116,0)</f>
        <v>0</v>
      </c>
      <c r="J116" s="64">
        <v>0</v>
      </c>
      <c r="L116" s="169">
        <f ca="1">OFFSET(Cost_Ingredients!N$146,$D116,0)*$J116</f>
        <v>0</v>
      </c>
      <c r="M116" s="169">
        <f ca="1">OFFSET(Cost_Ingredients!O$146,$D116,0)*$J116</f>
        <v>0</v>
      </c>
      <c r="N116" s="176">
        <f ca="1">OFFSET(Cost_Ingredients!P$146,$D116,0)*$J116</f>
        <v>0</v>
      </c>
      <c r="O116" s="176">
        <f ca="1">OFFSET(Cost_Ingredients!Q$146,$D116,0)*$J116</f>
        <v>0</v>
      </c>
      <c r="P116" s="667"/>
      <c r="Q116" s="667"/>
      <c r="R116" s="667"/>
      <c r="S116" s="667"/>
    </row>
    <row r="117" spans="3:19" s="23" customFormat="1">
      <c r="D117" s="746">
        <v>1</v>
      </c>
      <c r="E117" s="746"/>
      <c r="F117" s="746"/>
      <c r="G117" s="749"/>
      <c r="H117" s="172"/>
      <c r="I117" s="169">
        <f ca="1">OFFSET(Cost_Ingredients!$M$146,$D117,0)</f>
        <v>0</v>
      </c>
      <c r="J117" s="173">
        <v>0</v>
      </c>
      <c r="L117" s="169">
        <f ca="1">OFFSET(Cost_Ingredients!N$146,$D117,0)*$J117</f>
        <v>0</v>
      </c>
      <c r="M117" s="169">
        <f ca="1">OFFSET(Cost_Ingredients!O$146,$D117,0)*$J117</f>
        <v>0</v>
      </c>
      <c r="N117" s="176">
        <f ca="1">OFFSET(Cost_Ingredients!P$146,$D117,0)*$J117</f>
        <v>0</v>
      </c>
      <c r="O117" s="176">
        <f ca="1">OFFSET(Cost_Ingredients!Q$146,$D117,0)*$J117</f>
        <v>0</v>
      </c>
      <c r="P117" s="745"/>
      <c r="Q117" s="745"/>
      <c r="R117" s="745"/>
      <c r="S117" s="745"/>
    </row>
    <row r="118" spans="3:19" s="23" customFormat="1" ht="15" thickBot="1">
      <c r="D118" s="759" t="s">
        <v>161</v>
      </c>
      <c r="E118" s="759"/>
      <c r="F118" s="759"/>
      <c r="G118" s="759"/>
      <c r="H118" s="157"/>
      <c r="I118" s="177">
        <f ca="1">SUM(I111:I117)</f>
        <v>0</v>
      </c>
      <c r="J118" s="71"/>
      <c r="L118" s="24">
        <f ca="1">SUM(L111:L117)</f>
        <v>8500</v>
      </c>
      <c r="M118" s="24">
        <f ca="1">SUM(M111:M117)</f>
        <v>8500</v>
      </c>
      <c r="N118" s="25">
        <f ca="1">SUM(N111:N117)</f>
        <v>56.666666666666664</v>
      </c>
      <c r="O118" s="25">
        <f ca="1">SUM(O111:O117)</f>
        <v>56.666666666666664</v>
      </c>
      <c r="P118" s="157"/>
      <c r="Q118" s="157"/>
      <c r="R118" s="157"/>
      <c r="S118" s="157"/>
    </row>
    <row r="119" spans="3:19" s="23" customFormat="1"/>
    <row r="120" spans="3:19" s="23" customFormat="1" ht="15" thickBot="1">
      <c r="C120" s="70" t="str">
        <f>"Total "&amp;C71</f>
        <v xml:space="preserve">Total Detailed Cost Estimate: Supportive Supervision Visit From   PHD (district) to facility </v>
      </c>
      <c r="L120" s="57">
        <f ca="1">SUM(L83,L93,L107,L118)</f>
        <v>8500</v>
      </c>
      <c r="M120" s="57">
        <f ca="1">SUM(M83,M93,M107,M118)</f>
        <v>8500</v>
      </c>
      <c r="N120" s="58">
        <f ca="1">SUM(N83,N93,N107,N118)</f>
        <v>56.666666666666664</v>
      </c>
      <c r="O120" s="58">
        <f ca="1">SUM(O83,O93,O107,O118)</f>
        <v>56.666666666666664</v>
      </c>
    </row>
    <row r="121" spans="3:19" ht="15" thickTop="1">
      <c r="K121" s="23"/>
    </row>
    <row r="122" spans="3:19" s="23" customFormat="1"/>
    <row r="123" spans="3:19" s="23" customFormat="1">
      <c r="C123" s="160" t="str">
        <f>"Detailed Cost Estimate: "&amp;FLU_LU!$D$373</f>
        <v>Detailed Cost Estimate: Supervision Category 3</v>
      </c>
    </row>
    <row r="124" spans="3:19">
      <c r="C124" s="23"/>
      <c r="K124" s="23"/>
    </row>
    <row r="125" spans="3:19">
      <c r="F125" s="68" t="s">
        <v>201</v>
      </c>
      <c r="H125" s="769"/>
      <c r="I125" s="770"/>
      <c r="J125" s="770"/>
      <c r="K125" s="770"/>
      <c r="L125" s="770"/>
      <c r="M125" s="770"/>
      <c r="N125" s="770"/>
      <c r="O125" s="770"/>
      <c r="P125" s="771"/>
    </row>
    <row r="126" spans="3:19">
      <c r="K126" s="23"/>
    </row>
    <row r="127" spans="3:19">
      <c r="K127" s="23"/>
    </row>
    <row r="128" spans="3:19">
      <c r="C128" s="160" t="str">
        <f>FLU_LU!$D$278</f>
        <v xml:space="preserve">Personnel </v>
      </c>
      <c r="K128" s="23"/>
    </row>
    <row r="129" spans="3:19" ht="43.2">
      <c r="D129" s="733" t="s">
        <v>100</v>
      </c>
      <c r="E129" s="733"/>
      <c r="F129" s="733"/>
      <c r="G129" s="733"/>
      <c r="H129" s="142" t="s">
        <v>274</v>
      </c>
      <c r="I129" s="72" t="s">
        <v>474</v>
      </c>
      <c r="J129" s="152" t="s">
        <v>67</v>
      </c>
      <c r="K129" s="72" t="s">
        <v>475</v>
      </c>
      <c r="L129" s="28" t="str">
        <f>"Financial Price ("&amp;FLU_LU!$D$79&amp;")"</f>
        <v>Financial Price (GOZ)</v>
      </c>
      <c r="M129" s="28" t="str">
        <f>"Economic Price ("&amp;FLU_LU!$D$79&amp;")"</f>
        <v>Economic Price (GOZ)</v>
      </c>
      <c r="N129" s="28" t="str">
        <f>"Financial Price ("&amp;FLU_LU!$D$78&amp;")"</f>
        <v>Financial Price (USD)</v>
      </c>
      <c r="O129" s="28" t="str">
        <f>"Economic Price ("&amp;FLU_LU!$D$78&amp;")"</f>
        <v>Economic Price (USD)</v>
      </c>
      <c r="P129" s="152" t="s">
        <v>68</v>
      </c>
    </row>
    <row r="130" spans="3:19" s="23" customFormat="1">
      <c r="D130" s="746">
        <v>2</v>
      </c>
      <c r="E130" s="746"/>
      <c r="F130" s="746"/>
      <c r="G130" s="749"/>
      <c r="H130" s="151"/>
      <c r="I130" s="31">
        <v>1</v>
      </c>
      <c r="J130" s="64">
        <v>4</v>
      </c>
      <c r="K130" s="135">
        <f t="shared" ref="K130:K135" si="2">IF(I130=1,J130/FLU_DAYS_PER_MONTH,IF(I130=2,J130/FLU_HOURS_PER_MONTH,J130/FLU_MINUTES_PER_MONTH))</f>
        <v>0.18181818181818182</v>
      </c>
      <c r="L130" s="169">
        <f ca="1">OFFSET(Cost_Ingredients!$N$73,$D130,0)*$K130</f>
        <v>0</v>
      </c>
      <c r="M130" s="169">
        <f ca="1">OFFSET(Cost_Ingredients!$O$73,$D130,0)*$K130</f>
        <v>0</v>
      </c>
      <c r="N130" s="179">
        <f ca="1">OFFSET(Cost_Ingredients!$P$73,$D130,0)*$K130</f>
        <v>0</v>
      </c>
      <c r="O130" s="179">
        <f ca="1">OFFSET(Cost_Ingredients!$Q$73,$D130,0)*$K130</f>
        <v>0</v>
      </c>
      <c r="P130" s="767"/>
      <c r="Q130" s="767"/>
      <c r="R130" s="767"/>
      <c r="S130" s="767"/>
    </row>
    <row r="131" spans="3:19" s="23" customFormat="1">
      <c r="D131" s="746">
        <v>1</v>
      </c>
      <c r="E131" s="746"/>
      <c r="F131" s="746"/>
      <c r="G131" s="749"/>
      <c r="H131" s="151"/>
      <c r="I131" s="31">
        <v>1</v>
      </c>
      <c r="J131" s="64">
        <v>6</v>
      </c>
      <c r="K131" s="135">
        <f t="shared" si="2"/>
        <v>0.27272727272727271</v>
      </c>
      <c r="L131" s="169">
        <f ca="1">OFFSET(Cost_Ingredients!$N$73,$D131,0)*$K131</f>
        <v>0</v>
      </c>
      <c r="M131" s="169">
        <f ca="1">OFFSET(Cost_Ingredients!$O$73,$D131,0)*$K131</f>
        <v>0</v>
      </c>
      <c r="N131" s="179">
        <f ca="1">OFFSET(Cost_Ingredients!$P$73,$D131,0)*$K131</f>
        <v>0</v>
      </c>
      <c r="O131" s="179">
        <f ca="1">OFFSET(Cost_Ingredients!$Q$73,$D131,0)*$K131</f>
        <v>0</v>
      </c>
      <c r="P131" s="767"/>
      <c r="Q131" s="767"/>
      <c r="R131" s="767"/>
      <c r="S131" s="767"/>
    </row>
    <row r="132" spans="3:19" s="23" customFormat="1">
      <c r="D132" s="746">
        <v>1</v>
      </c>
      <c r="E132" s="746"/>
      <c r="F132" s="746"/>
      <c r="G132" s="749"/>
      <c r="H132" s="151"/>
      <c r="I132" s="31">
        <v>1</v>
      </c>
      <c r="J132" s="64">
        <v>0</v>
      </c>
      <c r="K132" s="135">
        <f t="shared" si="2"/>
        <v>0</v>
      </c>
      <c r="L132" s="169">
        <f ca="1">OFFSET(Cost_Ingredients!$N$73,$D132,0)*$K132</f>
        <v>0</v>
      </c>
      <c r="M132" s="169">
        <f ca="1">OFFSET(Cost_Ingredients!$O$73,$D132,0)*$K132</f>
        <v>0</v>
      </c>
      <c r="N132" s="179">
        <f ca="1">OFFSET(Cost_Ingredients!$P$73,$D132,0)*$K132</f>
        <v>0</v>
      </c>
      <c r="O132" s="179">
        <f ca="1">OFFSET(Cost_Ingredients!$Q$73,$D132,0)*$K132</f>
        <v>0</v>
      </c>
      <c r="P132" s="767"/>
      <c r="Q132" s="767"/>
      <c r="R132" s="767"/>
      <c r="S132" s="767"/>
    </row>
    <row r="133" spans="3:19" s="23" customFormat="1">
      <c r="D133" s="746">
        <v>1</v>
      </c>
      <c r="E133" s="746"/>
      <c r="F133" s="746"/>
      <c r="G133" s="749"/>
      <c r="H133" s="151"/>
      <c r="I133" s="31">
        <v>1</v>
      </c>
      <c r="J133" s="64">
        <v>0</v>
      </c>
      <c r="K133" s="135">
        <f t="shared" si="2"/>
        <v>0</v>
      </c>
      <c r="L133" s="169">
        <f ca="1">OFFSET(Cost_Ingredients!$N$73,$D133,0)*$K133</f>
        <v>0</v>
      </c>
      <c r="M133" s="169">
        <f ca="1">OFFSET(Cost_Ingredients!$O$73,$D133,0)*$K133</f>
        <v>0</v>
      </c>
      <c r="N133" s="179">
        <f ca="1">OFFSET(Cost_Ingredients!$P$73,$D133,0)*$K133</f>
        <v>0</v>
      </c>
      <c r="O133" s="179">
        <f ca="1">OFFSET(Cost_Ingredients!$Q$73,$D133,0)*$K133</f>
        <v>0</v>
      </c>
      <c r="P133" s="767"/>
      <c r="Q133" s="767"/>
      <c r="R133" s="767"/>
      <c r="S133" s="767"/>
    </row>
    <row r="134" spans="3:19" s="23" customFormat="1">
      <c r="D134" s="746">
        <v>1</v>
      </c>
      <c r="E134" s="746"/>
      <c r="F134" s="746"/>
      <c r="G134" s="749"/>
      <c r="H134" s="151"/>
      <c r="I134" s="31">
        <v>1</v>
      </c>
      <c r="J134" s="64">
        <v>7</v>
      </c>
      <c r="K134" s="135">
        <f t="shared" si="2"/>
        <v>0.31818181818181818</v>
      </c>
      <c r="L134" s="169">
        <f ca="1">OFFSET(Cost_Ingredients!$N$73,$D134,0)*$K134</f>
        <v>0</v>
      </c>
      <c r="M134" s="169">
        <f ca="1">OFFSET(Cost_Ingredients!$O$73,$D134,0)*$K134</f>
        <v>0</v>
      </c>
      <c r="N134" s="179">
        <f ca="1">OFFSET(Cost_Ingredients!$P$73,$D134,0)*$K134</f>
        <v>0</v>
      </c>
      <c r="O134" s="179">
        <f ca="1">OFFSET(Cost_Ingredients!$Q$73,$D134,0)*$K134</f>
        <v>0</v>
      </c>
      <c r="P134" s="767"/>
      <c r="Q134" s="767"/>
      <c r="R134" s="767"/>
      <c r="S134" s="767"/>
    </row>
    <row r="135" spans="3:19" s="23" customFormat="1">
      <c r="D135" s="746">
        <v>1</v>
      </c>
      <c r="E135" s="746"/>
      <c r="F135" s="746"/>
      <c r="G135" s="749"/>
      <c r="H135" s="172"/>
      <c r="I135" s="31">
        <v>1</v>
      </c>
      <c r="J135" s="173">
        <v>0</v>
      </c>
      <c r="K135" s="135">
        <f t="shared" si="2"/>
        <v>0</v>
      </c>
      <c r="L135" s="169">
        <f ca="1">OFFSET(Cost_Ingredients!$N$73,$D135,0)*$K135</f>
        <v>0</v>
      </c>
      <c r="M135" s="169">
        <f ca="1">OFFSET(Cost_Ingredients!$O$73,$D135,0)*$K135</f>
        <v>0</v>
      </c>
      <c r="N135" s="179">
        <f ca="1">OFFSET(Cost_Ingredients!$P$73,$D135,0)*$K135</f>
        <v>0</v>
      </c>
      <c r="O135" s="179">
        <f ca="1">OFFSET(Cost_Ingredients!$Q$73,$D135,0)*$K135</f>
        <v>0</v>
      </c>
      <c r="P135" s="768"/>
      <c r="Q135" s="768"/>
      <c r="R135" s="768"/>
      <c r="S135" s="768"/>
    </row>
    <row r="136" spans="3:19" s="23" customFormat="1" ht="15" thickBot="1">
      <c r="D136" s="759" t="s">
        <v>161</v>
      </c>
      <c r="E136" s="759"/>
      <c r="F136" s="759"/>
      <c r="G136" s="759"/>
      <c r="H136" s="157"/>
      <c r="J136" s="71"/>
      <c r="K136" s="162">
        <f>SUM(K130:K135)</f>
        <v>0.77272727272727271</v>
      </c>
      <c r="L136" s="39">
        <f ca="1">SUM(L130:L135)</f>
        <v>0</v>
      </c>
      <c r="M136" s="197">
        <f ca="1">SUM(M130:M135)</f>
        <v>0</v>
      </c>
      <c r="N136" s="198">
        <f ca="1">SUM(N130:N135)</f>
        <v>0</v>
      </c>
      <c r="O136" s="198">
        <f ca="1">SUM(O130:O135)</f>
        <v>0</v>
      </c>
      <c r="P136" s="157"/>
      <c r="Q136" s="157"/>
      <c r="R136" s="157"/>
      <c r="S136" s="157"/>
    </row>
    <row r="137" spans="3:19">
      <c r="G137" s="23"/>
      <c r="K137" s="23"/>
    </row>
    <row r="138" spans="3:19">
      <c r="C138" s="153" t="str">
        <f>FLU_LU!$D$279</f>
        <v>Allowances</v>
      </c>
      <c r="K138" s="23"/>
    </row>
    <row r="139" spans="3:19" ht="28.8">
      <c r="D139" s="733" t="s">
        <v>100</v>
      </c>
      <c r="E139" s="733"/>
      <c r="F139" s="733"/>
      <c r="G139" s="733"/>
      <c r="H139" s="142" t="s">
        <v>101</v>
      </c>
      <c r="I139" s="152" t="s">
        <v>63</v>
      </c>
      <c r="J139" s="152" t="s">
        <v>67</v>
      </c>
      <c r="K139" s="23"/>
      <c r="L139" s="28" t="str">
        <f>"Financial Price ("&amp;FLU_LU!$D$79&amp;")"</f>
        <v>Financial Price (GOZ)</v>
      </c>
      <c r="M139" s="28" t="str">
        <f>"Economic Price ("&amp;FLU_LU!$D$79&amp;")"</f>
        <v>Economic Price (GOZ)</v>
      </c>
      <c r="N139" s="28" t="str">
        <f>"Financial Price ("&amp;FLU_LU!$D$78&amp;")"</f>
        <v>Financial Price (USD)</v>
      </c>
      <c r="O139" s="28" t="str">
        <f>"Economic Price ("&amp;FLU_LU!$D$78&amp;")"</f>
        <v>Economic Price (USD)</v>
      </c>
      <c r="P139" s="152" t="s">
        <v>68</v>
      </c>
    </row>
    <row r="140" spans="3:19" s="23" customFormat="1">
      <c r="D140" s="746">
        <v>2</v>
      </c>
      <c r="E140" s="746"/>
      <c r="F140" s="746"/>
      <c r="G140" s="749"/>
      <c r="H140" s="667"/>
      <c r="I140" s="667"/>
      <c r="J140" s="64">
        <v>6</v>
      </c>
      <c r="L140" s="169">
        <f ca="1">OFFSET(Cost_Ingredients!N$103,$D140,0)*$J140</f>
        <v>33000</v>
      </c>
      <c r="M140" s="169">
        <f ca="1">OFFSET(Cost_Ingredients!O$103,$D140,0)*$J140</f>
        <v>33000</v>
      </c>
      <c r="N140" s="176">
        <f ca="1">OFFSET(Cost_Ingredients!P$103,$D140,0)*$J140</f>
        <v>220</v>
      </c>
      <c r="O140" s="176">
        <f ca="1">OFFSET(Cost_Ingredients!Q$103,$D140,0)*$J140</f>
        <v>220</v>
      </c>
      <c r="P140" s="767"/>
      <c r="Q140" s="767"/>
      <c r="R140" s="767"/>
      <c r="S140" s="767"/>
    </row>
    <row r="141" spans="3:19" s="23" customFormat="1">
      <c r="D141" s="746">
        <v>1</v>
      </c>
      <c r="E141" s="746"/>
      <c r="F141" s="746"/>
      <c r="G141" s="749"/>
      <c r="H141" s="667"/>
      <c r="I141" s="667"/>
      <c r="J141" s="64">
        <v>66</v>
      </c>
      <c r="L141" s="169">
        <f ca="1">OFFSET(Cost_Ingredients!N$103,$D141,0)*$J141</f>
        <v>0</v>
      </c>
      <c r="M141" s="169">
        <f ca="1">OFFSET(Cost_Ingredients!O$103,$D141,0)*$J141</f>
        <v>0</v>
      </c>
      <c r="N141" s="176">
        <f ca="1">OFFSET(Cost_Ingredients!P$103,$D141,0)*$J141</f>
        <v>0</v>
      </c>
      <c r="O141" s="176">
        <f ca="1">OFFSET(Cost_Ingredients!Q$103,$D141,0)*$J141</f>
        <v>0</v>
      </c>
      <c r="P141" s="767"/>
      <c r="Q141" s="767"/>
      <c r="R141" s="767"/>
      <c r="S141" s="767"/>
    </row>
    <row r="142" spans="3:19" s="23" customFormat="1">
      <c r="D142" s="746">
        <v>1</v>
      </c>
      <c r="E142" s="746"/>
      <c r="F142" s="746"/>
      <c r="G142" s="749"/>
      <c r="H142" s="667"/>
      <c r="I142" s="667"/>
      <c r="J142" s="64">
        <v>0</v>
      </c>
      <c r="L142" s="169">
        <f ca="1">OFFSET(Cost_Ingredients!N$103,$D142,0)*$J142</f>
        <v>0</v>
      </c>
      <c r="M142" s="169">
        <f ca="1">OFFSET(Cost_Ingredients!O$103,$D142,0)*$J142</f>
        <v>0</v>
      </c>
      <c r="N142" s="176">
        <f ca="1">OFFSET(Cost_Ingredients!P$103,$D142,0)*$J142</f>
        <v>0</v>
      </c>
      <c r="O142" s="176">
        <f ca="1">OFFSET(Cost_Ingredients!Q$103,$D142,0)*$J142</f>
        <v>0</v>
      </c>
      <c r="P142" s="767"/>
      <c r="Q142" s="767"/>
      <c r="R142" s="767"/>
      <c r="S142" s="767"/>
    </row>
    <row r="143" spans="3:19" s="23" customFormat="1">
      <c r="D143" s="746">
        <v>1</v>
      </c>
      <c r="E143" s="746"/>
      <c r="F143" s="746"/>
      <c r="G143" s="749"/>
      <c r="H143" s="667"/>
      <c r="I143" s="667"/>
      <c r="J143" s="64">
        <v>6</v>
      </c>
      <c r="L143" s="169">
        <f ca="1">OFFSET(Cost_Ingredients!N$103,$D143,0)*$J143</f>
        <v>0</v>
      </c>
      <c r="M143" s="169">
        <f ca="1">OFFSET(Cost_Ingredients!O$103,$D143,0)*$J143</f>
        <v>0</v>
      </c>
      <c r="N143" s="176">
        <f ca="1">OFFSET(Cost_Ingredients!P$103,$D143,0)*$J143</f>
        <v>0</v>
      </c>
      <c r="O143" s="176">
        <f ca="1">OFFSET(Cost_Ingredients!Q$103,$D143,0)*$J143</f>
        <v>0</v>
      </c>
      <c r="P143" s="767"/>
      <c r="Q143" s="767"/>
      <c r="R143" s="767"/>
      <c r="S143" s="767"/>
    </row>
    <row r="144" spans="3:19" s="23" customFormat="1">
      <c r="D144" s="746">
        <v>1</v>
      </c>
      <c r="E144" s="746"/>
      <c r="F144" s="746"/>
      <c r="G144" s="749"/>
      <c r="H144" s="667"/>
      <c r="I144" s="667"/>
      <c r="J144" s="64">
        <v>0</v>
      </c>
      <c r="L144" s="169">
        <f ca="1">OFFSET(Cost_Ingredients!N$103,$D144,0)*$J144</f>
        <v>0</v>
      </c>
      <c r="M144" s="169">
        <f ca="1">OFFSET(Cost_Ingredients!O$103,$D144,0)*$J144</f>
        <v>0</v>
      </c>
      <c r="N144" s="176">
        <f ca="1">OFFSET(Cost_Ingredients!P$103,$D144,0)*$J144</f>
        <v>0</v>
      </c>
      <c r="O144" s="176">
        <f ca="1">OFFSET(Cost_Ingredients!Q$103,$D144,0)*$J144</f>
        <v>0</v>
      </c>
      <c r="P144" s="767"/>
      <c r="Q144" s="767"/>
      <c r="R144" s="767"/>
      <c r="S144" s="767"/>
    </row>
    <row r="145" spans="3:19" s="23" customFormat="1">
      <c r="D145" s="746">
        <v>1</v>
      </c>
      <c r="E145" s="746"/>
      <c r="F145" s="746"/>
      <c r="G145" s="749"/>
      <c r="H145" s="745"/>
      <c r="I145" s="745"/>
      <c r="J145" s="173">
        <v>0</v>
      </c>
      <c r="L145" s="169">
        <f ca="1">OFFSET(Cost_Ingredients!N$103,$D145,0)*$J145</f>
        <v>0</v>
      </c>
      <c r="M145" s="169">
        <f ca="1">OFFSET(Cost_Ingredients!O$103,$D145,0)*$J145</f>
        <v>0</v>
      </c>
      <c r="N145" s="176">
        <f ca="1">OFFSET(Cost_Ingredients!P$103,$D145,0)*$J145</f>
        <v>0</v>
      </c>
      <c r="O145" s="176">
        <f ca="1">OFFSET(Cost_Ingredients!Q$103,$D145,0)*$J145</f>
        <v>0</v>
      </c>
      <c r="P145" s="768"/>
      <c r="Q145" s="768"/>
      <c r="R145" s="768"/>
      <c r="S145" s="768"/>
    </row>
    <row r="146" spans="3:19" s="23" customFormat="1" ht="15" thickBot="1">
      <c r="D146" s="759" t="s">
        <v>161</v>
      </c>
      <c r="E146" s="759"/>
      <c r="F146" s="759"/>
      <c r="G146" s="759"/>
      <c r="H146" s="157"/>
      <c r="I146" s="157"/>
      <c r="J146" s="71"/>
      <c r="L146" s="39">
        <f ca="1">SUM(L140:L145)</f>
        <v>33000</v>
      </c>
      <c r="M146" s="39">
        <f ca="1">SUM(M140:M145)</f>
        <v>33000</v>
      </c>
      <c r="N146" s="73">
        <f ca="1">SUM(N140:N145)</f>
        <v>220</v>
      </c>
      <c r="O146" s="73">
        <f ca="1">SUM(O140:O145)</f>
        <v>220</v>
      </c>
      <c r="P146" s="157"/>
      <c r="Q146" s="157"/>
      <c r="R146" s="157"/>
      <c r="S146" s="157"/>
    </row>
    <row r="147" spans="3:19">
      <c r="K147" s="23"/>
    </row>
    <row r="148" spans="3:19">
      <c r="C148" s="153" t="str">
        <f>FLU_LU!$D$280</f>
        <v>Supplies &amp; Materials</v>
      </c>
      <c r="K148" s="23"/>
    </row>
    <row r="149" spans="3:19" ht="28.8">
      <c r="D149" s="733" t="s">
        <v>100</v>
      </c>
      <c r="E149" s="733"/>
      <c r="F149" s="733"/>
      <c r="G149" s="733"/>
      <c r="H149" s="142" t="s">
        <v>101</v>
      </c>
      <c r="I149" s="152" t="s">
        <v>63</v>
      </c>
      <c r="J149" s="152" t="s">
        <v>67</v>
      </c>
      <c r="K149" s="23"/>
      <c r="L149" s="28" t="str">
        <f>"Financial Price ("&amp;FLU_LU!$D$79&amp;")"</f>
        <v>Financial Price (GOZ)</v>
      </c>
      <c r="M149" s="28" t="str">
        <f>"Economic Price ("&amp;FLU_LU!$D$79&amp;")"</f>
        <v>Economic Price (GOZ)</v>
      </c>
      <c r="N149" s="28" t="str">
        <f>"Financial Price ("&amp;FLU_LU!$D$78&amp;")"</f>
        <v>Financial Price (USD)</v>
      </c>
      <c r="O149" s="28" t="str">
        <f>"Economic Price ("&amp;FLU_LU!$D$78&amp;")"</f>
        <v>Economic Price (USD)</v>
      </c>
      <c r="P149" s="152" t="s">
        <v>68</v>
      </c>
    </row>
    <row r="150" spans="3:19" s="23" customFormat="1">
      <c r="D150" s="746">
        <v>4</v>
      </c>
      <c r="E150" s="746"/>
      <c r="F150" s="746"/>
      <c r="G150" s="749"/>
      <c r="H150" s="151"/>
      <c r="I150" s="169" t="str">
        <f ca="1">OFFSET(Cost_Ingredients!$M$117,$D150,0)</f>
        <v>pz</v>
      </c>
      <c r="J150" s="64">
        <v>40</v>
      </c>
      <c r="L150" s="169">
        <f ca="1">OFFSET(Cost_Ingredients!N$117,$D150,0)*$J150</f>
        <v>288</v>
      </c>
      <c r="M150" s="169">
        <f ca="1">OFFSET(Cost_Ingredients!O$117,$D150,0)*$J150</f>
        <v>288</v>
      </c>
      <c r="N150" s="176">
        <f ca="1">OFFSET(Cost_Ingredients!P$117,$D150,0)*$J150</f>
        <v>1.92</v>
      </c>
      <c r="O150" s="176">
        <f ca="1">OFFSET(Cost_Ingredients!Q$117,$D150,0)*$J150</f>
        <v>1.92</v>
      </c>
      <c r="P150" s="667"/>
      <c r="Q150" s="667"/>
      <c r="R150" s="667"/>
      <c r="S150" s="667"/>
    </row>
    <row r="151" spans="3:19" s="23" customFormat="1">
      <c r="D151" s="746">
        <v>1</v>
      </c>
      <c r="E151" s="746"/>
      <c r="F151" s="746"/>
      <c r="G151" s="749"/>
      <c r="H151" s="151"/>
      <c r="I151" s="169">
        <f ca="1">OFFSET(Cost_Ingredients!$M$117,$D151,0)</f>
        <v>0</v>
      </c>
      <c r="J151" s="64">
        <v>0</v>
      </c>
      <c r="L151" s="169">
        <f ca="1">OFFSET(Cost_Ingredients!N$117,$D151,0)*$J151</f>
        <v>0</v>
      </c>
      <c r="M151" s="169">
        <f ca="1">OFFSET(Cost_Ingredients!O$117,$D151,0)*$J151</f>
        <v>0</v>
      </c>
      <c r="N151" s="176">
        <f ca="1">OFFSET(Cost_Ingredients!P$117,$D151,0)*$J151</f>
        <v>0</v>
      </c>
      <c r="O151" s="176">
        <f ca="1">OFFSET(Cost_Ingredients!Q$117,$D151,0)*$J151</f>
        <v>0</v>
      </c>
      <c r="P151" s="667"/>
      <c r="Q151" s="667"/>
      <c r="R151" s="667"/>
      <c r="S151" s="667"/>
    </row>
    <row r="152" spans="3:19" s="23" customFormat="1">
      <c r="D152" s="746">
        <v>1</v>
      </c>
      <c r="E152" s="746"/>
      <c r="F152" s="746"/>
      <c r="G152" s="749"/>
      <c r="H152" s="151"/>
      <c r="I152" s="169">
        <f ca="1">OFFSET(Cost_Ingredients!$M$117,$D152,0)</f>
        <v>0</v>
      </c>
      <c r="J152" s="64">
        <v>0</v>
      </c>
      <c r="L152" s="169">
        <f ca="1">OFFSET(Cost_Ingredients!N$117,$D152,0)*$J152</f>
        <v>0</v>
      </c>
      <c r="M152" s="169">
        <f ca="1">OFFSET(Cost_Ingredients!O$117,$D152,0)*$J152</f>
        <v>0</v>
      </c>
      <c r="N152" s="176">
        <f ca="1">OFFSET(Cost_Ingredients!P$117,$D152,0)*$J152</f>
        <v>0</v>
      </c>
      <c r="O152" s="176">
        <f ca="1">OFFSET(Cost_Ingredients!Q$117,$D152,0)*$J152</f>
        <v>0</v>
      </c>
      <c r="P152" s="667"/>
      <c r="Q152" s="667"/>
      <c r="R152" s="667"/>
      <c r="S152" s="667"/>
    </row>
    <row r="153" spans="3:19" s="23" customFormat="1">
      <c r="D153" s="746">
        <v>1</v>
      </c>
      <c r="E153" s="746"/>
      <c r="F153" s="746"/>
      <c r="G153" s="749"/>
      <c r="H153" s="151"/>
      <c r="I153" s="169">
        <f ca="1">OFFSET(Cost_Ingredients!$M$117,$D153,0)</f>
        <v>0</v>
      </c>
      <c r="J153" s="64">
        <v>0</v>
      </c>
      <c r="L153" s="169">
        <f ca="1">OFFSET(Cost_Ingredients!N$117,$D153,0)*$J153</f>
        <v>0</v>
      </c>
      <c r="M153" s="169">
        <f ca="1">OFFSET(Cost_Ingredients!O$117,$D153,0)*$J153</f>
        <v>0</v>
      </c>
      <c r="N153" s="176">
        <f ca="1">OFFSET(Cost_Ingredients!P$117,$D153,0)*$J153</f>
        <v>0</v>
      </c>
      <c r="O153" s="176">
        <f ca="1">OFFSET(Cost_Ingredients!Q$117,$D153,0)*$J153</f>
        <v>0</v>
      </c>
      <c r="P153" s="667"/>
      <c r="Q153" s="667"/>
      <c r="R153" s="667"/>
      <c r="S153" s="667"/>
    </row>
    <row r="154" spans="3:19" s="23" customFormat="1">
      <c r="D154" s="746">
        <v>1</v>
      </c>
      <c r="E154" s="746"/>
      <c r="F154" s="746"/>
      <c r="G154" s="749"/>
      <c r="H154" s="151"/>
      <c r="I154" s="169">
        <f ca="1">OFFSET(Cost_Ingredients!$M$117,$D154,0)</f>
        <v>0</v>
      </c>
      <c r="J154" s="64">
        <v>0</v>
      </c>
      <c r="L154" s="169">
        <f ca="1">OFFSET(Cost_Ingredients!N$117,$D154,0)*$J154</f>
        <v>0</v>
      </c>
      <c r="M154" s="169">
        <f ca="1">OFFSET(Cost_Ingredients!O$117,$D154,0)*$J154</f>
        <v>0</v>
      </c>
      <c r="N154" s="176">
        <f ca="1">OFFSET(Cost_Ingredients!P$117,$D154,0)*$J154</f>
        <v>0</v>
      </c>
      <c r="O154" s="176">
        <f ca="1">OFFSET(Cost_Ingredients!Q$117,$D154,0)*$J154</f>
        <v>0</v>
      </c>
      <c r="P154" s="667"/>
      <c r="Q154" s="667"/>
      <c r="R154" s="667"/>
      <c r="S154" s="667"/>
    </row>
    <row r="155" spans="3:19" s="23" customFormat="1">
      <c r="D155" s="746">
        <v>1</v>
      </c>
      <c r="E155" s="746"/>
      <c r="F155" s="746"/>
      <c r="G155" s="749"/>
      <c r="H155" s="151"/>
      <c r="I155" s="169">
        <f ca="1">OFFSET(Cost_Ingredients!$M$117,$D155,0)</f>
        <v>0</v>
      </c>
      <c r="J155" s="64">
        <v>0</v>
      </c>
      <c r="L155" s="169">
        <f ca="1">OFFSET(Cost_Ingredients!N$117,$D155,0)*$J155</f>
        <v>0</v>
      </c>
      <c r="M155" s="169">
        <f ca="1">OFFSET(Cost_Ingredients!O$117,$D155,0)*$J155</f>
        <v>0</v>
      </c>
      <c r="N155" s="176">
        <f ca="1">OFFSET(Cost_Ingredients!P$117,$D155,0)*$J155</f>
        <v>0</v>
      </c>
      <c r="O155" s="176">
        <f ca="1">OFFSET(Cost_Ingredients!Q$117,$D155,0)*$J155</f>
        <v>0</v>
      </c>
      <c r="P155" s="667"/>
      <c r="Q155" s="667"/>
      <c r="R155" s="667"/>
      <c r="S155" s="667"/>
    </row>
    <row r="156" spans="3:19" s="23" customFormat="1">
      <c r="D156" s="746">
        <v>1</v>
      </c>
      <c r="E156" s="746"/>
      <c r="F156" s="746"/>
      <c r="G156" s="749"/>
      <c r="H156" s="151"/>
      <c r="I156" s="169">
        <f ca="1">OFFSET(Cost_Ingredients!$M$117,$D156,0)</f>
        <v>0</v>
      </c>
      <c r="J156" s="64">
        <v>0</v>
      </c>
      <c r="L156" s="169">
        <f ca="1">OFFSET(Cost_Ingredients!N$117,$D156,0)*$J156</f>
        <v>0</v>
      </c>
      <c r="M156" s="169">
        <f ca="1">OFFSET(Cost_Ingredients!O$117,$D156,0)*$J156</f>
        <v>0</v>
      </c>
      <c r="N156" s="176">
        <f ca="1">OFFSET(Cost_Ingredients!P$117,$D156,0)*$J156</f>
        <v>0</v>
      </c>
      <c r="O156" s="176">
        <f ca="1">OFFSET(Cost_Ingredients!Q$117,$D156,0)*$J156</f>
        <v>0</v>
      </c>
      <c r="P156" s="667"/>
      <c r="Q156" s="667"/>
      <c r="R156" s="667"/>
      <c r="S156" s="667"/>
    </row>
    <row r="157" spans="3:19" s="23" customFormat="1">
      <c r="D157" s="746">
        <v>1</v>
      </c>
      <c r="E157" s="746"/>
      <c r="F157" s="746"/>
      <c r="G157" s="749"/>
      <c r="H157" s="151"/>
      <c r="I157" s="169">
        <f ca="1">OFFSET(Cost_Ingredients!$M$117,$D157,0)</f>
        <v>0</v>
      </c>
      <c r="J157" s="64">
        <v>0</v>
      </c>
      <c r="L157" s="169">
        <f ca="1">OFFSET(Cost_Ingredients!N$117,$D157,0)*$J157</f>
        <v>0</v>
      </c>
      <c r="M157" s="169">
        <f ca="1">OFFSET(Cost_Ingredients!O$117,$D157,0)*$J157</f>
        <v>0</v>
      </c>
      <c r="N157" s="176">
        <f ca="1">OFFSET(Cost_Ingredients!P$117,$D157,0)*$J157</f>
        <v>0</v>
      </c>
      <c r="O157" s="176">
        <f ca="1">OFFSET(Cost_Ingredients!Q$117,$D157,0)*$J157</f>
        <v>0</v>
      </c>
      <c r="P157" s="667"/>
      <c r="Q157" s="667"/>
      <c r="R157" s="667"/>
      <c r="S157" s="667"/>
    </row>
    <row r="158" spans="3:19" s="23" customFormat="1">
      <c r="D158" s="746">
        <v>1</v>
      </c>
      <c r="E158" s="746"/>
      <c r="F158" s="746"/>
      <c r="G158" s="749"/>
      <c r="H158" s="151"/>
      <c r="I158" s="169">
        <f ca="1">OFFSET(Cost_Ingredients!$M$117,$D158,0)</f>
        <v>0</v>
      </c>
      <c r="J158" s="64">
        <v>0</v>
      </c>
      <c r="L158" s="169">
        <f ca="1">OFFSET(Cost_Ingredients!N$117,$D158,0)*$J158</f>
        <v>0</v>
      </c>
      <c r="M158" s="169">
        <f ca="1">OFFSET(Cost_Ingredients!O$117,$D158,0)*$J158</f>
        <v>0</v>
      </c>
      <c r="N158" s="176">
        <f ca="1">OFFSET(Cost_Ingredients!P$117,$D158,0)*$J158</f>
        <v>0</v>
      </c>
      <c r="O158" s="176">
        <f ca="1">OFFSET(Cost_Ingredients!Q$117,$D158,0)*$J158</f>
        <v>0</v>
      </c>
      <c r="P158" s="667"/>
      <c r="Q158" s="667"/>
      <c r="R158" s="667"/>
      <c r="S158" s="667"/>
    </row>
    <row r="159" spans="3:19" s="23" customFormat="1">
      <c r="D159" s="746">
        <v>1</v>
      </c>
      <c r="E159" s="746"/>
      <c r="F159" s="746"/>
      <c r="G159" s="749"/>
      <c r="H159" s="172"/>
      <c r="I159" s="169">
        <f ca="1">OFFSET(Cost_Ingredients!$M$117,$D159,0)</f>
        <v>0</v>
      </c>
      <c r="J159" s="173">
        <v>0</v>
      </c>
      <c r="L159" s="169">
        <f ca="1">OFFSET(Cost_Ingredients!N$117,$D159,0)*$J159</f>
        <v>0</v>
      </c>
      <c r="M159" s="169">
        <f ca="1">OFFSET(Cost_Ingredients!O$117,$D159,0)*$J159</f>
        <v>0</v>
      </c>
      <c r="N159" s="176">
        <f ca="1">OFFSET(Cost_Ingredients!P$117,$D159,0)*$J159</f>
        <v>0</v>
      </c>
      <c r="O159" s="176">
        <f ca="1">OFFSET(Cost_Ingredients!Q$117,$D159,0)*$J159</f>
        <v>0</v>
      </c>
      <c r="P159" s="745"/>
      <c r="Q159" s="745"/>
      <c r="R159" s="745"/>
      <c r="S159" s="745"/>
    </row>
    <row r="160" spans="3:19" s="23" customFormat="1" ht="15" thickBot="1">
      <c r="D160" s="759" t="s">
        <v>161</v>
      </c>
      <c r="E160" s="759"/>
      <c r="F160" s="759"/>
      <c r="G160" s="759"/>
      <c r="H160" s="157"/>
      <c r="I160" s="177">
        <f ca="1">SUM(I150:I159)</f>
        <v>0</v>
      </c>
      <c r="J160" s="177">
        <f>SUM(J150:J159)</f>
        <v>40</v>
      </c>
      <c r="L160" s="39">
        <f t="shared" ref="L160:O160" ca="1" si="3">SUM(L150:L159)</f>
        <v>288</v>
      </c>
      <c r="M160" s="39">
        <f t="shared" ca="1" si="3"/>
        <v>288</v>
      </c>
      <c r="N160" s="73">
        <f t="shared" ca="1" si="3"/>
        <v>1.92</v>
      </c>
      <c r="O160" s="73">
        <f t="shared" ca="1" si="3"/>
        <v>1.92</v>
      </c>
      <c r="P160" s="157"/>
      <c r="Q160" s="157"/>
      <c r="R160" s="157"/>
      <c r="S160" s="157"/>
    </row>
    <row r="161" spans="3:19">
      <c r="K161" s="23"/>
    </row>
    <row r="162" spans="3:19">
      <c r="C162" s="153" t="str">
        <f>FLU_LU!$D$281</f>
        <v>Other Direct Costs (Recurrent)</v>
      </c>
      <c r="K162" s="23"/>
    </row>
    <row r="163" spans="3:19" ht="28.8">
      <c r="D163" s="733" t="s">
        <v>100</v>
      </c>
      <c r="E163" s="733"/>
      <c r="F163" s="733"/>
      <c r="G163" s="733"/>
      <c r="H163" s="142" t="s">
        <v>101</v>
      </c>
      <c r="I163" s="152" t="s">
        <v>63</v>
      </c>
      <c r="J163" s="152" t="s">
        <v>67</v>
      </c>
      <c r="K163" s="23"/>
      <c r="L163" s="28" t="str">
        <f>"Financial Price ("&amp;FLU_LU!$D$79&amp;")"</f>
        <v>Financial Price (GOZ)</v>
      </c>
      <c r="M163" s="28" t="str">
        <f>"Economic Price ("&amp;FLU_LU!$D$79&amp;")"</f>
        <v>Economic Price (GOZ)</v>
      </c>
      <c r="N163" s="28" t="str">
        <f>"Financial Price ("&amp;FLU_LU!$D$78&amp;")"</f>
        <v>Financial Price (USD)</v>
      </c>
      <c r="O163" s="28" t="str">
        <f>"Economic Price ("&amp;FLU_LU!$D$78&amp;")"</f>
        <v>Economic Price (USD)</v>
      </c>
      <c r="P163" s="152" t="s">
        <v>68</v>
      </c>
    </row>
    <row r="164" spans="3:19" s="23" customFormat="1">
      <c r="D164" s="746">
        <v>2</v>
      </c>
      <c r="E164" s="746"/>
      <c r="F164" s="746"/>
      <c r="G164" s="749"/>
      <c r="H164" s="151"/>
      <c r="I164" s="169" t="str">
        <f ca="1">OFFSET(Cost_Ingredients!$M$146,$D164,0)</f>
        <v>litre</v>
      </c>
      <c r="J164" s="64">
        <v>4</v>
      </c>
      <c r="L164" s="169">
        <f ca="1">OFFSET(Cost_Ingredients!N$146,$D164,0)*$J164</f>
        <v>680</v>
      </c>
      <c r="M164" s="169">
        <f ca="1">OFFSET(Cost_Ingredients!O$146,$D164,0)*$J164</f>
        <v>680</v>
      </c>
      <c r="N164" s="176">
        <f ca="1">OFFSET(Cost_Ingredients!P$146,$D164,0)*$J164</f>
        <v>4.5333333333333332</v>
      </c>
      <c r="O164" s="176">
        <f ca="1">OFFSET(Cost_Ingredients!Q$146,$D164,0)*$J164</f>
        <v>4.5333333333333332</v>
      </c>
      <c r="P164" s="667"/>
      <c r="Q164" s="667"/>
      <c r="R164" s="667"/>
      <c r="S164" s="667"/>
    </row>
    <row r="165" spans="3:19" s="23" customFormat="1">
      <c r="D165" s="746">
        <v>2</v>
      </c>
      <c r="E165" s="746"/>
      <c r="F165" s="746"/>
      <c r="G165" s="749"/>
      <c r="H165" s="151"/>
      <c r="I165" s="169" t="str">
        <f ca="1">OFFSET(Cost_Ingredients!$M$146,$D165,0)</f>
        <v>litre</v>
      </c>
      <c r="J165" s="64">
        <v>400</v>
      </c>
      <c r="L165" s="169">
        <f ca="1">OFFSET(Cost_Ingredients!N$146,$D165,0)*$J165</f>
        <v>68000</v>
      </c>
      <c r="M165" s="169">
        <f ca="1">OFFSET(Cost_Ingredients!O$146,$D165,0)*$J165</f>
        <v>68000</v>
      </c>
      <c r="N165" s="176">
        <f ca="1">OFFSET(Cost_Ingredients!P$146,$D165,0)*$J165</f>
        <v>453.33333333333331</v>
      </c>
      <c r="O165" s="176">
        <f ca="1">OFFSET(Cost_Ingredients!Q$146,$D165,0)*$J165</f>
        <v>453.33333333333331</v>
      </c>
      <c r="P165" s="667"/>
      <c r="Q165" s="667"/>
      <c r="R165" s="667"/>
      <c r="S165" s="667"/>
    </row>
    <row r="166" spans="3:19" s="23" customFormat="1">
      <c r="D166" s="746">
        <v>1</v>
      </c>
      <c r="E166" s="746"/>
      <c r="F166" s="746"/>
      <c r="G166" s="749"/>
      <c r="H166" s="151"/>
      <c r="I166" s="169">
        <f ca="1">OFFSET(Cost_Ingredients!$M$146,$D166,0)</f>
        <v>0</v>
      </c>
      <c r="J166" s="64">
        <v>0</v>
      </c>
      <c r="L166" s="169">
        <f ca="1">OFFSET(Cost_Ingredients!N$146,$D166,0)*$J166</f>
        <v>0</v>
      </c>
      <c r="M166" s="169">
        <f ca="1">OFFSET(Cost_Ingredients!O$146,$D166,0)*$J166</f>
        <v>0</v>
      </c>
      <c r="N166" s="176">
        <f ca="1">OFFSET(Cost_Ingredients!P$146,$D166,0)*$J166</f>
        <v>0</v>
      </c>
      <c r="O166" s="176">
        <f ca="1">OFFSET(Cost_Ingredients!Q$146,$D166,0)*$J166</f>
        <v>0</v>
      </c>
      <c r="P166" s="667"/>
      <c r="Q166" s="667"/>
      <c r="R166" s="667"/>
      <c r="S166" s="667"/>
    </row>
    <row r="167" spans="3:19" s="23" customFormat="1">
      <c r="D167" s="746">
        <v>1</v>
      </c>
      <c r="E167" s="746"/>
      <c r="F167" s="746"/>
      <c r="G167" s="749"/>
      <c r="H167" s="151"/>
      <c r="I167" s="169">
        <f ca="1">OFFSET(Cost_Ingredients!$M$146,$D167,0)</f>
        <v>0</v>
      </c>
      <c r="J167" s="64">
        <v>0</v>
      </c>
      <c r="L167" s="169">
        <f ca="1">OFFSET(Cost_Ingredients!N$146,$D167,0)*$J167</f>
        <v>0</v>
      </c>
      <c r="M167" s="169">
        <f ca="1">OFFSET(Cost_Ingredients!O$146,$D167,0)*$J167</f>
        <v>0</v>
      </c>
      <c r="N167" s="176">
        <f ca="1">OFFSET(Cost_Ingredients!P$146,$D167,0)*$J167</f>
        <v>0</v>
      </c>
      <c r="O167" s="176">
        <f ca="1">OFFSET(Cost_Ingredients!Q$146,$D167,0)*$J167</f>
        <v>0</v>
      </c>
      <c r="P167" s="667"/>
      <c r="Q167" s="667"/>
      <c r="R167" s="667"/>
      <c r="S167" s="667"/>
    </row>
    <row r="168" spans="3:19" s="23" customFormat="1">
      <c r="D168" s="746">
        <v>1</v>
      </c>
      <c r="E168" s="746"/>
      <c r="F168" s="746"/>
      <c r="G168" s="749"/>
      <c r="H168" s="151"/>
      <c r="I168" s="169">
        <f ca="1">OFFSET(Cost_Ingredients!$M$146,$D168,0)</f>
        <v>0</v>
      </c>
      <c r="J168" s="64">
        <v>0</v>
      </c>
      <c r="L168" s="169">
        <f ca="1">OFFSET(Cost_Ingredients!N$146,$D168,0)*$J168</f>
        <v>0</v>
      </c>
      <c r="M168" s="169">
        <f ca="1">OFFSET(Cost_Ingredients!O$146,$D168,0)*$J168</f>
        <v>0</v>
      </c>
      <c r="N168" s="176">
        <f ca="1">OFFSET(Cost_Ingredients!P$146,$D168,0)*$J168</f>
        <v>0</v>
      </c>
      <c r="O168" s="176">
        <f ca="1">OFFSET(Cost_Ingredients!Q$146,$D168,0)*$J168</f>
        <v>0</v>
      </c>
      <c r="P168" s="667"/>
      <c r="Q168" s="667"/>
      <c r="R168" s="667"/>
      <c r="S168" s="667"/>
    </row>
    <row r="169" spans="3:19" s="23" customFormat="1">
      <c r="D169" s="746">
        <v>1</v>
      </c>
      <c r="E169" s="746"/>
      <c r="F169" s="746"/>
      <c r="G169" s="749"/>
      <c r="H169" s="151"/>
      <c r="I169" s="169">
        <f ca="1">OFFSET(Cost_Ingredients!$M$146,$D169,0)</f>
        <v>0</v>
      </c>
      <c r="J169" s="64">
        <v>0</v>
      </c>
      <c r="L169" s="169">
        <f ca="1">OFFSET(Cost_Ingredients!N$146,$D169,0)*$J169</f>
        <v>0</v>
      </c>
      <c r="M169" s="169">
        <f ca="1">OFFSET(Cost_Ingredients!O$146,$D169,0)*$J169</f>
        <v>0</v>
      </c>
      <c r="N169" s="176">
        <f ca="1">OFFSET(Cost_Ingredients!P$146,$D169,0)*$J169</f>
        <v>0</v>
      </c>
      <c r="O169" s="176">
        <f ca="1">OFFSET(Cost_Ingredients!Q$146,$D169,0)*$J169</f>
        <v>0</v>
      </c>
      <c r="P169" s="667"/>
      <c r="Q169" s="667"/>
      <c r="R169" s="667"/>
      <c r="S169" s="667"/>
    </row>
    <row r="170" spans="3:19" s="23" customFormat="1">
      <c r="D170" s="746">
        <v>1</v>
      </c>
      <c r="E170" s="746"/>
      <c r="F170" s="746"/>
      <c r="G170" s="749"/>
      <c r="H170" s="172"/>
      <c r="I170" s="169">
        <f ca="1">OFFSET(Cost_Ingredients!$M$146,$D170,0)</f>
        <v>0</v>
      </c>
      <c r="J170" s="173">
        <v>0</v>
      </c>
      <c r="L170" s="169">
        <f ca="1">OFFSET(Cost_Ingredients!N$146,$D170,0)*$J170</f>
        <v>0</v>
      </c>
      <c r="M170" s="169">
        <f ca="1">OFFSET(Cost_Ingredients!O$146,$D170,0)*$J170</f>
        <v>0</v>
      </c>
      <c r="N170" s="176">
        <f ca="1">OFFSET(Cost_Ingredients!P$146,$D170,0)*$J170</f>
        <v>0</v>
      </c>
      <c r="O170" s="176">
        <f ca="1">OFFSET(Cost_Ingredients!Q$146,$D170,0)*$J170</f>
        <v>0</v>
      </c>
      <c r="P170" s="745"/>
      <c r="Q170" s="745"/>
      <c r="R170" s="745"/>
      <c r="S170" s="745"/>
    </row>
    <row r="171" spans="3:19" s="23" customFormat="1" ht="15" thickBot="1">
      <c r="D171" s="759" t="s">
        <v>161</v>
      </c>
      <c r="E171" s="759"/>
      <c r="F171" s="759"/>
      <c r="G171" s="759"/>
      <c r="H171" s="157"/>
      <c r="I171" s="177">
        <f ca="1">SUM(I164:I170)</f>
        <v>0</v>
      </c>
      <c r="J171" s="71"/>
      <c r="L171" s="24">
        <f ca="1">SUM(L164:L170)</f>
        <v>68680</v>
      </c>
      <c r="M171" s="24">
        <f ca="1">SUM(M164:M170)</f>
        <v>68680</v>
      </c>
      <c r="N171" s="25">
        <f ca="1">SUM(N164:N170)</f>
        <v>457.86666666666667</v>
      </c>
      <c r="O171" s="25">
        <f ca="1">SUM(O164:O170)</f>
        <v>457.86666666666667</v>
      </c>
      <c r="P171" s="157"/>
      <c r="Q171" s="157"/>
      <c r="R171" s="157"/>
      <c r="S171" s="157"/>
    </row>
    <row r="172" spans="3:19">
      <c r="K172" s="23"/>
    </row>
    <row r="173" spans="3:19" ht="15" thickBot="1">
      <c r="C173" s="70" t="str">
        <f>"Total "&amp;C123</f>
        <v>Total Detailed Cost Estimate: Supervision Category 3</v>
      </c>
      <c r="L173" s="185">
        <f ca="1">SUM(L136,L146,L160,L171)</f>
        <v>101968</v>
      </c>
      <c r="M173" s="185">
        <f ca="1">SUM(M136,M146,M160,M171)</f>
        <v>101968</v>
      </c>
      <c r="N173" s="184">
        <f ca="1">SUM(N136,N146,N160,N171)</f>
        <v>679.78666666666663</v>
      </c>
      <c r="O173" s="184">
        <f ca="1">SUM(O136,O146,O160,O171)</f>
        <v>679.78666666666663</v>
      </c>
    </row>
    <row r="174" spans="3:19" ht="15" thickTop="1"/>
  </sheetData>
  <mergeCells count="239">
    <mergeCell ref="D77:G77"/>
    <mergeCell ref="D78:G78"/>
    <mergeCell ref="D79:G79"/>
    <mergeCell ref="D80:G80"/>
    <mergeCell ref="D81:G81"/>
    <mergeCell ref="D82:G82"/>
    <mergeCell ref="D83:G83"/>
    <mergeCell ref="D86:G86"/>
    <mergeCell ref="D87:G87"/>
    <mergeCell ref="D107:G107"/>
    <mergeCell ref="D110:G110"/>
    <mergeCell ref="D111:G111"/>
    <mergeCell ref="D117:G117"/>
    <mergeCell ref="D118:G118"/>
    <mergeCell ref="D112:G112"/>
    <mergeCell ref="D113:G113"/>
    <mergeCell ref="D114:G114"/>
    <mergeCell ref="D115:G115"/>
    <mergeCell ref="D116:G116"/>
    <mergeCell ref="D103:G103"/>
    <mergeCell ref="D88:G88"/>
    <mergeCell ref="D89:G89"/>
    <mergeCell ref="D90:G90"/>
    <mergeCell ref="D91:G91"/>
    <mergeCell ref="D92:G92"/>
    <mergeCell ref="D93:G93"/>
    <mergeCell ref="D96:G96"/>
    <mergeCell ref="D97:G97"/>
    <mergeCell ref="D98:G98"/>
    <mergeCell ref="D99:G99"/>
    <mergeCell ref="D100:G100"/>
    <mergeCell ref="D101:G101"/>
    <mergeCell ref="D102:G102"/>
    <mergeCell ref="D66:G66"/>
    <mergeCell ref="D76:G76"/>
    <mergeCell ref="D43:G43"/>
    <mergeCell ref="D44:G44"/>
    <mergeCell ref="D45:G45"/>
    <mergeCell ref="D46:G46"/>
    <mergeCell ref="D47:G47"/>
    <mergeCell ref="D53:G53"/>
    <mergeCell ref="D56:G56"/>
    <mergeCell ref="D57:G57"/>
    <mergeCell ref="D58:G58"/>
    <mergeCell ref="D52:G52"/>
    <mergeCell ref="D51:G51"/>
    <mergeCell ref="D50:G50"/>
    <mergeCell ref="D49:G49"/>
    <mergeCell ref="D48:G48"/>
    <mergeCell ref="D59:G59"/>
    <mergeCell ref="D60:G60"/>
    <mergeCell ref="D61:G61"/>
    <mergeCell ref="D62:G62"/>
    <mergeCell ref="D63:G63"/>
    <mergeCell ref="D64:G64"/>
    <mergeCell ref="D42:G42"/>
    <mergeCell ref="D28:G28"/>
    <mergeCell ref="D27:G27"/>
    <mergeCell ref="D26:G26"/>
    <mergeCell ref="D25:G25"/>
    <mergeCell ref="D24:G24"/>
    <mergeCell ref="D30:G30"/>
    <mergeCell ref="D29:G29"/>
    <mergeCell ref="D65:G65"/>
    <mergeCell ref="B3:F3"/>
    <mergeCell ref="D23:G23"/>
    <mergeCell ref="D33:G33"/>
    <mergeCell ref="D34:G34"/>
    <mergeCell ref="D35:G35"/>
    <mergeCell ref="D36:G36"/>
    <mergeCell ref="D37:G37"/>
    <mergeCell ref="D38:G38"/>
    <mergeCell ref="D39:G39"/>
    <mergeCell ref="D14:G14"/>
    <mergeCell ref="D15:G15"/>
    <mergeCell ref="D16:G16"/>
    <mergeCell ref="D17:G17"/>
    <mergeCell ref="D18:G18"/>
    <mergeCell ref="D19:G19"/>
    <mergeCell ref="D20:G20"/>
    <mergeCell ref="D21:G21"/>
    <mergeCell ref="D22:G22"/>
    <mergeCell ref="D130:G130"/>
    <mergeCell ref="D131:G131"/>
    <mergeCell ref="D132:G132"/>
    <mergeCell ref="D133:G133"/>
    <mergeCell ref="D134:G134"/>
    <mergeCell ref="D129:G129"/>
    <mergeCell ref="P132:S132"/>
    <mergeCell ref="P133:S133"/>
    <mergeCell ref="P134:S134"/>
    <mergeCell ref="D169:G169"/>
    <mergeCell ref="D154:G154"/>
    <mergeCell ref="D155:G155"/>
    <mergeCell ref="D160:G160"/>
    <mergeCell ref="D163:G163"/>
    <mergeCell ref="D164:G164"/>
    <mergeCell ref="D149:G149"/>
    <mergeCell ref="D150:G150"/>
    <mergeCell ref="D151:G151"/>
    <mergeCell ref="D152:G152"/>
    <mergeCell ref="D153:G153"/>
    <mergeCell ref="D159:G159"/>
    <mergeCell ref="D158:G158"/>
    <mergeCell ref="D170:G170"/>
    <mergeCell ref="D171:G171"/>
    <mergeCell ref="D165:G165"/>
    <mergeCell ref="D166:G166"/>
    <mergeCell ref="P63:S63"/>
    <mergeCell ref="P64:S64"/>
    <mergeCell ref="P65:S65"/>
    <mergeCell ref="P77:S77"/>
    <mergeCell ref="P78:S78"/>
    <mergeCell ref="P90:S90"/>
    <mergeCell ref="P91:S91"/>
    <mergeCell ref="P92:S92"/>
    <mergeCell ref="P102:S102"/>
    <mergeCell ref="P111:S111"/>
    <mergeCell ref="P112:S112"/>
    <mergeCell ref="P113:S113"/>
    <mergeCell ref="P114:S114"/>
    <mergeCell ref="P97:S97"/>
    <mergeCell ref="P98:S98"/>
    <mergeCell ref="P99:S99"/>
    <mergeCell ref="P100:S100"/>
    <mergeCell ref="P101:S101"/>
    <mergeCell ref="D167:G167"/>
    <mergeCell ref="D168:G168"/>
    <mergeCell ref="P159:S159"/>
    <mergeCell ref="D104:G104"/>
    <mergeCell ref="P104:S104"/>
    <mergeCell ref="H125:P125"/>
    <mergeCell ref="P169:S169"/>
    <mergeCell ref="P170:S170"/>
    <mergeCell ref="P155:S155"/>
    <mergeCell ref="P164:S164"/>
    <mergeCell ref="P165:S165"/>
    <mergeCell ref="P166:S166"/>
    <mergeCell ref="P167:S167"/>
    <mergeCell ref="P152:S152"/>
    <mergeCell ref="P153:S153"/>
    <mergeCell ref="P154:S154"/>
    <mergeCell ref="P141:S141"/>
    <mergeCell ref="P142:S142"/>
    <mergeCell ref="P143:S143"/>
    <mergeCell ref="P144:S144"/>
    <mergeCell ref="P145:S145"/>
    <mergeCell ref="P168:S168"/>
    <mergeCell ref="P135:S135"/>
    <mergeCell ref="P140:S140"/>
    <mergeCell ref="P115:S115"/>
    <mergeCell ref="D105:G105"/>
    <mergeCell ref="P158:S158"/>
    <mergeCell ref="D157:G157"/>
    <mergeCell ref="P157:S157"/>
    <mergeCell ref="P103:S103"/>
    <mergeCell ref="D156:G156"/>
    <mergeCell ref="P156:S156"/>
    <mergeCell ref="D106:G106"/>
    <mergeCell ref="P106:S106"/>
    <mergeCell ref="P116:S116"/>
    <mergeCell ref="P117:S117"/>
    <mergeCell ref="P130:S130"/>
    <mergeCell ref="P131:S131"/>
    <mergeCell ref="P150:S150"/>
    <mergeCell ref="P151:S151"/>
    <mergeCell ref="D142:G142"/>
    <mergeCell ref="D143:G143"/>
    <mergeCell ref="D144:G144"/>
    <mergeCell ref="D145:G145"/>
    <mergeCell ref="D146:G146"/>
    <mergeCell ref="D135:G135"/>
    <mergeCell ref="D136:G136"/>
    <mergeCell ref="D139:G139"/>
    <mergeCell ref="D140:G140"/>
    <mergeCell ref="D141:G141"/>
    <mergeCell ref="H34:I34"/>
    <mergeCell ref="H35:I35"/>
    <mergeCell ref="H36:I36"/>
    <mergeCell ref="H37:I37"/>
    <mergeCell ref="H38:I38"/>
    <mergeCell ref="H87:I87"/>
    <mergeCell ref="H88:I88"/>
    <mergeCell ref="P105:S105"/>
    <mergeCell ref="H89:I89"/>
    <mergeCell ref="P89:S89"/>
    <mergeCell ref="P79:S79"/>
    <mergeCell ref="P80:S80"/>
    <mergeCell ref="P81:S81"/>
    <mergeCell ref="P82:S82"/>
    <mergeCell ref="P87:S87"/>
    <mergeCell ref="P57:S57"/>
    <mergeCell ref="P37:S37"/>
    <mergeCell ref="P38:S38"/>
    <mergeCell ref="P43:S43"/>
    <mergeCell ref="P52:S52"/>
    <mergeCell ref="P51:S51"/>
    <mergeCell ref="P50:S50"/>
    <mergeCell ref="P49:S49"/>
    <mergeCell ref="H92:I92"/>
    <mergeCell ref="H11:P11"/>
    <mergeCell ref="H73:P73"/>
    <mergeCell ref="P15:S15"/>
    <mergeCell ref="P16:S16"/>
    <mergeCell ref="P17:S17"/>
    <mergeCell ref="P18:S18"/>
    <mergeCell ref="P19:S19"/>
    <mergeCell ref="P20:S20"/>
    <mergeCell ref="P21:S21"/>
    <mergeCell ref="P22:S22"/>
    <mergeCell ref="P23:S23"/>
    <mergeCell ref="P24:S24"/>
    <mergeCell ref="P25:S25"/>
    <mergeCell ref="P26:S26"/>
    <mergeCell ref="P27:S27"/>
    <mergeCell ref="P28:S28"/>
    <mergeCell ref="P34:S34"/>
    <mergeCell ref="P35:S35"/>
    <mergeCell ref="P36:S36"/>
    <mergeCell ref="P44:S44"/>
    <mergeCell ref="P45:S45"/>
    <mergeCell ref="P46:S46"/>
    <mergeCell ref="P47:S47"/>
    <mergeCell ref="P29:S29"/>
    <mergeCell ref="H140:I140"/>
    <mergeCell ref="H141:I141"/>
    <mergeCell ref="H142:I142"/>
    <mergeCell ref="H143:I143"/>
    <mergeCell ref="H144:I144"/>
    <mergeCell ref="H145:I145"/>
    <mergeCell ref="P48:S48"/>
    <mergeCell ref="P58:S58"/>
    <mergeCell ref="P59:S59"/>
    <mergeCell ref="P60:S60"/>
    <mergeCell ref="P61:S61"/>
    <mergeCell ref="P62:S62"/>
    <mergeCell ref="P88:S88"/>
    <mergeCell ref="H90:I90"/>
    <mergeCell ref="H91:I91"/>
  </mergeCells>
  <dataValidations disablePrompts="1" count="7">
    <dataValidation type="decimal" operator="greaterThanOrEqual" allowBlank="1" showDropDown="1" showErrorMessage="1" errorTitle="Invalid Assumption" error="Assumption must be a value greater than or equal to zero." sqref="J43:J52 J34:J38" xr:uid="{00000000-0002-0000-1C00-000000000000}">
      <formula1>0</formula1>
    </dataValidation>
    <dataValidation type="custom" showErrorMessage="1" errorTitle="Invalid Assumption" error="Assumption must be a number." sqref="J111:J117 J87:J92 J77:J82 J164:J170 J140:J145 J130:J135 J150:J159 J97:J106 J57:J65 J15:J29" xr:uid="{00000000-0002-0000-1C00-000001000000}">
      <formula1>NOT(ISERROR(J15/1))</formula1>
    </dataValidation>
    <dataValidation type="whole" showDropDown="1" showErrorMessage="1" errorTitle="Drop Down Box Cell Link" error="The value in a drop down box cell link must be a whole number within the control's lookup range rows." sqref="D164:D170 D111:D117 D57:D65" xr:uid="{00000000-0002-0000-1C00-000002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34:D38 D140:D145 D87:D92" xr:uid="{00000000-0002-0000-1C00-000003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43:D52 D150:D159 D97:D106" xr:uid="{00000000-0002-0000-1C00-000004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I77:I82 I130:I135 I15:I29" xr:uid="{00000000-0002-0000-1C00-000005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77:G82 D130:G135 D15:D29" xr:uid="{00000000-0002-0000-1C00-000006000000}">
      <formula1>1</formula1>
      <formula2>ROWS(LU_FLU_RECC_PRICES_GROUP_A)</formula2>
    </dataValidation>
  </dataValidations>
  <hyperlinks>
    <hyperlink ref="A4" location="$B$5" tooltip="Go to Top of Sheet" display="$B$5" xr:uid="{00000000-0004-0000-1C00-000000000000}"/>
    <hyperlink ref="B4" location="HL_Sheet_Main_6" tooltip="Go to Previous Sheet" display="HL_Sheet_Main_6" xr:uid="{00000000-0004-0000-1C00-000001000000}"/>
    <hyperlink ref="C4" location="HL_Sheet_Main_19" tooltip="Go to Next Sheet" display="HL_Sheet_Main_19" xr:uid="{00000000-0004-0000-1C00-000002000000}"/>
    <hyperlink ref="B3" location="HL_Home" tooltip="Go to Table of Contents" display="HL_Home" xr:uid="{00000000-0004-0000-1C00-000003000000}"/>
    <hyperlink ref="D4" location="HL_Err_Chk" tooltip="Go to Error Checks" display="HL_Err_Chk" xr:uid="{00000000-0004-0000-1C00-000004000000}"/>
    <hyperlink ref="E4" location="HL_Sens_Chk" tooltip="Go to Sensitivity Checks" display="HL_Sens_Chk" xr:uid="{00000000-0004-0000-1C00-000005000000}"/>
    <hyperlink ref="F4" location="HL_Alt_Chk" tooltip="Go to Alert Checks" display="HL_Alt_Chk" xr:uid="{00000000-0004-0000-1C00-000006000000}"/>
  </hyperlinks>
  <pageMargins left="0.4" right="0.4" top="0.6" bottom="1" header="0" footer="0.3"/>
  <pageSetup orientation="landscape" horizontalDpi="4294967292" verticalDpi="0" r:id="rId1"/>
  <headerFooter>
    <oddFooter>&amp;L&amp;F
&amp;A
Printed: &amp;T on &amp;D&amp;C&amp;",Bold"Sheet 3.1.f.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2502" r:id="rId4" name="bpmDropDownFLU624">
              <controlPr defaultSize="0" autoFill="0" autoPict="0">
                <anchor moveWithCells="1">
                  <from>
                    <xdr:col>3</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362503" r:id="rId5" name="bpmDropDownFLU625">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362504" r:id="rId6" name="bpmDropDownFLU626">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362505" r:id="rId7" name="bpmDropDownFLU627">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362506" r:id="rId8" name="bpmDropDownFLU628">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362507" r:id="rId9" name="bpmDropDownFLU629">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362508" r:id="rId10" name="bpmDropDownFLU630">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362509" r:id="rId11" name="bpmDropDownFLU631">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362510" r:id="rId12" name="bpmDropDownFLU632">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362511" r:id="rId13" name="bpmDropDownFLU633">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362512" r:id="rId14" name="bpmDropDownFLU634">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362513" r:id="rId15" name="bpmDropDownFLU635">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362514" r:id="rId16" name="bpmDropDownFLU636">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362515" r:id="rId17" name="bpmDropDownFLU637">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362516" r:id="rId18" name="bpmDropDownFLU638">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362517" r:id="rId19" name="bpmDropDownFLU639">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362518" r:id="rId20" name="bpmDropDownFLU640">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362519" r:id="rId21" name="bpmDropDownFLU641">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362520" r:id="rId22" name="bpmDropDownFLU642">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362527" r:id="rId23" name="bpmDropDownFLU649">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362528" r:id="rId24" name="bpmDropDownFLU650">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362529" r:id="rId25" name="bpmDropDownFLU651">
              <controlPr defaultSize="0" autoFill="0" autoPict="0">
                <anchor moveWithCells="1">
                  <from>
                    <xdr:col>3</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362530" r:id="rId26" name="bpmDropDownFLU652">
              <controlPr defaultSize="0" autoFill="0" autoPict="0">
                <anchor moveWithCells="1">
                  <from>
                    <xdr:col>3</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362531" r:id="rId27" name="bpmDropDownFLU653">
              <controlPr defaultSize="0" autoFill="0" autoPict="0">
                <anchor moveWithCells="1">
                  <from>
                    <xdr:col>3</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362532" r:id="rId28" name="bpmDropDownFLU654">
              <controlPr defaultSize="0" autoFill="0" autoPict="0">
                <anchor moveWithCells="1">
                  <from>
                    <xdr:col>3</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362533" r:id="rId29" name="bpmDropDownFLU655">
              <controlPr defaultSize="0" autoFill="0" autoPict="0">
                <anchor moveWithCells="1">
                  <from>
                    <xdr:col>3</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362534" r:id="rId30" name="bpmDropDownFLU656">
              <controlPr defaultSize="0" autoFill="0" autoPict="0">
                <anchor moveWithCells="1">
                  <from>
                    <xdr:col>3</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362535" r:id="rId31" name="bpmDropDownFLU657">
              <controlPr defaultSize="0" autoFill="0" autoPict="0">
                <anchor moveWithCells="1">
                  <from>
                    <xdr:col>3</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362536" r:id="rId32" name="bpmDropDownFLU658">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362537" r:id="rId33" name="bpmDropDownFLU659">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362538" r:id="rId34" name="bpmDropDownFLU660">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362539" r:id="rId35" name="bpmDropDownFLU661">
              <controlPr defaultSize="0" autoFill="0" autoPict="0">
                <anchor moveWithCells="1">
                  <from>
                    <xdr:col>3</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362540" r:id="rId36" name="bpmDropDownFLU662">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362541" r:id="rId37" name="bpmDropDownFLU663">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362542" r:id="rId38" name="bpmDropDownFLU664">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362543" r:id="rId39" name="bpmDropDownFLU665">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362544" r:id="rId40" name="bpmDropDownFLU666">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362545" r:id="rId41" name="bpmDropDownFLU667">
              <controlPr defaultSize="0" autoFill="0" autoPict="0">
                <anchor moveWithCells="1">
                  <from>
                    <xdr:col>3</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362552" r:id="rId42" name="bpmDropDownFLU801">
              <controlPr defaultSize="0" autoFill="0" autoPict="0">
                <anchor moveWithCells="1">
                  <from>
                    <xdr:col>3</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362553" r:id="rId43" name="bpmDropDownFLU802">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362554" r:id="rId44" name="bpmDropDownFLU803">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362555" r:id="rId45" name="bpmDropDownFLU804">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362556" r:id="rId46" name="bpmDropDownFLU805">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362557" r:id="rId47" name="bpmDropDownFLU806">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362558" r:id="rId48" name="bpmDropDownFLU807">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362559" r:id="rId49" name="bpmDropDownFLU808">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362560" r:id="rId50" name="bpmDropDownFLU809">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362561" r:id="rId51" name="bpmDropDownFLU810">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362562" r:id="rId52" name="bpmDropDownFLU811">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362563" r:id="rId53" name="bpmDropDownFLU812">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362564" r:id="rId54" name="bpmDropDownFLU813">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362565" r:id="rId55" name="bpmDropDownFLU814">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362566" r:id="rId56" name="bpmDropDownFLU815">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362567" r:id="rId57" name="bpmDropDownFLU816">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362568" r:id="rId58" name="bpmDropDownFLU817">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362569" r:id="rId59" name="bpmDropDownFLU818">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362570" r:id="rId60" name="bpmDropDownFLU819">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362621" r:id="rId61" name="bpmDropDownFLU26">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362622" r:id="rId62" name="bpmDropDownFLU360">
              <controlPr defaultSize="0" autoFill="0" autoPict="0">
                <anchor moveWithCells="1">
                  <from>
                    <xdr:col>3</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362625" r:id="rId63" name="bpmDropDownFLU390">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362626" r:id="rId64" name="bpmDropDownFLU391">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362627" r:id="rId65" name="bpmDropDownFLU392">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362628" r:id="rId66" name="bpmDropDownFLU503">
              <controlPr defaultSize="0" autoFill="0" autoPict="0">
                <anchor moveWithCells="1">
                  <from>
                    <xdr:col>3</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362629" r:id="rId67" name="bpmDropDownFLU517">
              <controlPr defaultSize="0" autoFill="0" autoPict="0">
                <anchor moveWithCells="1">
                  <from>
                    <xdr:col>3</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362630" r:id="rId68" name="bpmDropDownFLU519">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362647" r:id="rId69" name="bpmDropDownFLU1213">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362648" r:id="rId70" name="bpmDropDownFLU1214">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362649" r:id="rId71" name="bpmDropDownFLU1215">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362650" r:id="rId72" name="bpmDropDownFLU1216">
              <controlPr defaultSize="0" autoFill="0" autoPict="0">
                <anchor moveWithCells="1">
                  <from>
                    <xdr:col>3</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362651" r:id="rId73" name="bpmDropDownFLU1217">
              <controlPr defaultSize="0" autoFill="0" autoPict="0">
                <anchor moveWithCells="1">
                  <from>
                    <xdr:col>3</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362653" r:id="rId74" name="bpmDropDownFLU173">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362654" r:id="rId75" name="bpmDropDownFLU174">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362655" r:id="rId76" name="bpmDropDownFLU175">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362656" r:id="rId77" name="bpmDropDownFLU179">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362657" r:id="rId78" name="bpmDropDownFLU180">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362658" r:id="rId79" name="bpmDropDownFLU181">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362659" r:id="rId80" name="bpmDropDownFLU182">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362660" r:id="rId81" name="bpmDropDownFLU202">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362662" r:id="rId82" name="bpmDropDownFLU204">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62663" r:id="rId83" name="bpmDropDownFLU205">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362664" r:id="rId84" name="bpmDropDownFLU206">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362665" r:id="rId85" name="bpmDropDownFLU207">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362666" r:id="rId86" name="bpmDropDownFLU349">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362667" r:id="rId87" name="bpmDropDownFLU350">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362668" r:id="rId88" name="bpmDropDownFLU351">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362669" r:id="rId89" name="bpmDropDownFLU352">
              <controlPr defaultSize="0" autoFill="0" autoPict="0">
                <anchor moveWithCells="1">
                  <from>
                    <xdr:col>3</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362670" r:id="rId90" name="bpmDropDownFLU353">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362671" r:id="rId91" name="bpmDropDownFLU354">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362672" r:id="rId92" name="bpmDropDownFLU355">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362673" r:id="rId93" name="bpmDropDownFLU356">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362674" r:id="rId94" name="bpmDropDownFLU357">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362675" r:id="rId95" name="bpmDropDownFLU358">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362676" r:id="rId96" name="bpmDropDownFLU359">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362678" r:id="rId97" name="bpmDropDownFLU393">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362679" r:id="rId98" name="bpmDropDownFLU394">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362680" r:id="rId99" name="bpmDropDownFLU395">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362681" r:id="rId100" name="bpmDropDownFLU396">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362682" r:id="rId101" name="bpmDropDownFLU416">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362683" r:id="rId102" name="bpmDropDownFLU423">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362684" r:id="rId103" name="bpmDropDownFLU487">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362685" r:id="rId104" name="bpmDropDownFLU504">
              <controlPr defaultSize="0" autoFill="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362686" r:id="rId105" name="bpmDropDownFLU506">
              <controlPr defaultSize="0" autoFill="0" autoPict="0">
                <anchor moveWithCells="1">
                  <from>
                    <xdr:col>8</xdr:col>
                    <xdr:colOff>0</xdr:colOff>
                    <xdr:row>77</xdr:row>
                    <xdr:rowOff>0</xdr:rowOff>
                  </from>
                  <to>
                    <xdr:col>9</xdr:col>
                    <xdr:colOff>0</xdr:colOff>
                    <xdr:row>78</xdr:row>
                    <xdr:rowOff>0</xdr:rowOff>
                  </to>
                </anchor>
              </controlPr>
            </control>
          </mc:Choice>
        </mc:AlternateContent>
        <mc:AlternateContent xmlns:mc="http://schemas.openxmlformats.org/markup-compatibility/2006">
          <mc:Choice Requires="x14">
            <control shapeId="362687" r:id="rId106" name="bpmDropDownFLU507">
              <controlPr defaultSize="0" autoFill="0" autoPict="0">
                <anchor moveWithCells="1">
                  <from>
                    <xdr:col>8</xdr:col>
                    <xdr:colOff>0</xdr:colOff>
                    <xdr:row>78</xdr:row>
                    <xdr:rowOff>0</xdr:rowOff>
                  </from>
                  <to>
                    <xdr:col>9</xdr:col>
                    <xdr:colOff>0</xdr:colOff>
                    <xdr:row>79</xdr:row>
                    <xdr:rowOff>0</xdr:rowOff>
                  </to>
                </anchor>
              </controlPr>
            </control>
          </mc:Choice>
        </mc:AlternateContent>
        <mc:AlternateContent xmlns:mc="http://schemas.openxmlformats.org/markup-compatibility/2006">
          <mc:Choice Requires="x14">
            <control shapeId="362688" r:id="rId107" name="bpmDropDownFLU508">
              <controlPr defaultSize="0" autoFill="0" autoPict="0">
                <anchor moveWithCells="1">
                  <from>
                    <xdr:col>8</xdr:col>
                    <xdr:colOff>0</xdr:colOff>
                    <xdr:row>79</xdr:row>
                    <xdr:rowOff>0</xdr:rowOff>
                  </from>
                  <to>
                    <xdr:col>9</xdr:col>
                    <xdr:colOff>0</xdr:colOff>
                    <xdr:row>80</xdr:row>
                    <xdr:rowOff>0</xdr:rowOff>
                  </to>
                </anchor>
              </controlPr>
            </control>
          </mc:Choice>
        </mc:AlternateContent>
        <mc:AlternateContent xmlns:mc="http://schemas.openxmlformats.org/markup-compatibility/2006">
          <mc:Choice Requires="x14">
            <control shapeId="362689" r:id="rId108" name="bpmDropDownFLU509">
              <controlPr defaultSize="0" autoFill="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362690" r:id="rId109" name="bpmDropDownFLU510">
              <controlPr defaultSize="0" autoFill="0" autoPict="0">
                <anchor moveWithCells="1">
                  <from>
                    <xdr:col>8</xdr:col>
                    <xdr:colOff>0</xdr:colOff>
                    <xdr:row>81</xdr:row>
                    <xdr:rowOff>0</xdr:rowOff>
                  </from>
                  <to>
                    <xdr:col>9</xdr:col>
                    <xdr:colOff>0</xdr:colOff>
                    <xdr:row>82</xdr:row>
                    <xdr:rowOff>0</xdr:rowOff>
                  </to>
                </anchor>
              </controlPr>
            </control>
          </mc:Choice>
        </mc:AlternateContent>
        <mc:AlternateContent xmlns:mc="http://schemas.openxmlformats.org/markup-compatibility/2006">
          <mc:Choice Requires="x14">
            <control shapeId="362691" r:id="rId110" name="bpmDropDownFLU511">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362692" r:id="rId111" name="bpmDropDownFLU512">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362693" r:id="rId112" name="bpmDropDownFLU513">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362694" r:id="rId113" name="bpmDropDownFLU514">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362695" r:id="rId114" name="bpmDropDownFLU515">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362696" r:id="rId115" name="bpmDropDownFLU516">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362697" r:id="rId116" name="bpmDropDownFLU518">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362698" r:id="rId117" name="bpmDropDownFLU527">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362699" r:id="rId118" name="bpmDropDownFLU528">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362700" r:id="rId119" name="bpmDropDownFLU529">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362701" r:id="rId120" name="bpmDropDownFLU530">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362702" r:id="rId121" name="bpmDropDownFLU531">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362703" r:id="rId122" name="bpmDropDownFLU532">
              <controlPr defaultSize="0" autoFill="0" autoPict="0">
                <anchor moveWithCells="1">
                  <from>
                    <xdr:col>8</xdr:col>
                    <xdr:colOff>0</xdr:colOff>
                    <xdr:row>129</xdr:row>
                    <xdr:rowOff>0</xdr:rowOff>
                  </from>
                  <to>
                    <xdr:col>9</xdr:col>
                    <xdr:colOff>0</xdr:colOff>
                    <xdr:row>130</xdr:row>
                    <xdr:rowOff>0</xdr:rowOff>
                  </to>
                </anchor>
              </controlPr>
            </control>
          </mc:Choice>
        </mc:AlternateContent>
        <mc:AlternateContent xmlns:mc="http://schemas.openxmlformats.org/markup-compatibility/2006">
          <mc:Choice Requires="x14">
            <control shapeId="362704" r:id="rId123" name="bpmDropDownFLU533">
              <controlPr defaultSize="0" autoFill="0" autoPict="0">
                <anchor moveWithCells="1">
                  <from>
                    <xdr:col>8</xdr:col>
                    <xdr:colOff>0</xdr:colOff>
                    <xdr:row>130</xdr:row>
                    <xdr:rowOff>0</xdr:rowOff>
                  </from>
                  <to>
                    <xdr:col>9</xdr:col>
                    <xdr:colOff>0</xdr:colOff>
                    <xdr:row>131</xdr:row>
                    <xdr:rowOff>0</xdr:rowOff>
                  </to>
                </anchor>
              </controlPr>
            </control>
          </mc:Choice>
        </mc:AlternateContent>
        <mc:AlternateContent xmlns:mc="http://schemas.openxmlformats.org/markup-compatibility/2006">
          <mc:Choice Requires="x14">
            <control shapeId="362705" r:id="rId124" name="bpmDropDownFLU534">
              <controlPr defaultSize="0" autoFill="0" autoPict="0">
                <anchor moveWithCells="1">
                  <from>
                    <xdr:col>8</xdr:col>
                    <xdr:colOff>0</xdr:colOff>
                    <xdr:row>131</xdr:row>
                    <xdr:rowOff>0</xdr:rowOff>
                  </from>
                  <to>
                    <xdr:col>9</xdr:col>
                    <xdr:colOff>0</xdr:colOff>
                    <xdr:row>132</xdr:row>
                    <xdr:rowOff>0</xdr:rowOff>
                  </to>
                </anchor>
              </controlPr>
            </control>
          </mc:Choice>
        </mc:AlternateContent>
        <mc:AlternateContent xmlns:mc="http://schemas.openxmlformats.org/markup-compatibility/2006">
          <mc:Choice Requires="x14">
            <control shapeId="362706" r:id="rId125" name="bpmDropDownFLU535">
              <controlPr defaultSize="0" autoFill="0" autoPict="0">
                <anchor moveWithCells="1">
                  <from>
                    <xdr:col>8</xdr:col>
                    <xdr:colOff>0</xdr:colOff>
                    <xdr:row>132</xdr:row>
                    <xdr:rowOff>0</xdr:rowOff>
                  </from>
                  <to>
                    <xdr:col>9</xdr:col>
                    <xdr:colOff>0</xdr:colOff>
                    <xdr:row>133</xdr:row>
                    <xdr:rowOff>0</xdr:rowOff>
                  </to>
                </anchor>
              </controlPr>
            </control>
          </mc:Choice>
        </mc:AlternateContent>
        <mc:AlternateContent xmlns:mc="http://schemas.openxmlformats.org/markup-compatibility/2006">
          <mc:Choice Requires="x14">
            <control shapeId="362707" r:id="rId126" name="bpmDropDownFLU536">
              <controlPr defaultSize="0" autoFill="0" autoPict="0">
                <anchor moveWithCells="1">
                  <from>
                    <xdr:col>8</xdr:col>
                    <xdr:colOff>0</xdr:colOff>
                    <xdr:row>133</xdr:row>
                    <xdr:rowOff>0</xdr:rowOff>
                  </from>
                  <to>
                    <xdr:col>9</xdr:col>
                    <xdr:colOff>0</xdr:colOff>
                    <xdr:row>134</xdr:row>
                    <xdr:rowOff>0</xdr:rowOff>
                  </to>
                </anchor>
              </controlPr>
            </control>
          </mc:Choice>
        </mc:AlternateContent>
        <mc:AlternateContent xmlns:mc="http://schemas.openxmlformats.org/markup-compatibility/2006">
          <mc:Choice Requires="x14">
            <control shapeId="362708" r:id="rId127" name="bpmDropDownFLU540">
              <controlPr defaultSize="0" autoFill="0" autoPict="0">
                <anchor moveWithCells="1">
                  <from>
                    <xdr:col>8</xdr:col>
                    <xdr:colOff>0</xdr:colOff>
                    <xdr:row>134</xdr:row>
                    <xdr:rowOff>0</xdr:rowOff>
                  </from>
                  <to>
                    <xdr:col>9</xdr:col>
                    <xdr:colOff>0</xdr:colOff>
                    <xdr:row>135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autoPageBreaks="0"/>
  </sheetPr>
  <dimension ref="A1:V24"/>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2.44140625" defaultRowHeight="14.4"/>
  <cols>
    <col min="1" max="1" width="3.6640625" customWidth="1"/>
    <col min="2" max="2" width="4" customWidth="1"/>
    <col min="3" max="3" width="2.44140625" customWidth="1"/>
    <col min="4" max="4" width="27.21875" customWidth="1"/>
    <col min="5" max="5" width="2.44140625" customWidth="1"/>
    <col min="6" max="8" width="10.6640625" customWidth="1"/>
    <col min="9" max="9" width="2.44140625" customWidth="1"/>
    <col min="10" max="13" width="10.6640625" customWidth="1"/>
    <col min="14" max="14" width="2.44140625" customWidth="1"/>
    <col min="15" max="17" width="10.6640625" customWidth="1"/>
    <col min="18" max="18" width="2.44140625" customWidth="1"/>
    <col min="19" max="22" width="10.6640625" customWidth="1"/>
  </cols>
  <sheetData>
    <row r="1" spans="1:22" ht="21">
      <c r="B1" s="56" t="s">
        <v>524</v>
      </c>
    </row>
    <row r="2" spans="1:22" ht="21.6">
      <c r="B2" s="164" t="str">
        <f>Model_Name</f>
        <v>Seasonal Influenza Immunization Costing Tool (SIICT)  - Test Country</v>
      </c>
      <c r="H2" s="345"/>
    </row>
    <row r="3" spans="1:22" ht="21.6">
      <c r="B3" s="668" t="s">
        <v>1</v>
      </c>
      <c r="C3" s="668"/>
      <c r="D3" s="668"/>
      <c r="E3" s="148"/>
      <c r="F3" s="148"/>
      <c r="G3" s="148"/>
      <c r="H3" s="345"/>
      <c r="I3" s="148"/>
    </row>
    <row r="4" spans="1:22">
      <c r="A4" s="54" t="s">
        <v>3</v>
      </c>
      <c r="B4" s="681" t="s">
        <v>4</v>
      </c>
      <c r="C4" s="681"/>
      <c r="D4" s="682" t="s">
        <v>5</v>
      </c>
      <c r="E4" s="682"/>
      <c r="F4" s="683" t="s">
        <v>25</v>
      </c>
      <c r="G4" s="683"/>
      <c r="H4" s="683"/>
      <c r="I4" s="330"/>
      <c r="J4" s="684" t="s">
        <v>27</v>
      </c>
      <c r="K4" s="684"/>
    </row>
    <row r="5" spans="1:22" ht="15" thickBot="1"/>
    <row r="6" spans="1:22" ht="15.75" customHeight="1" thickBot="1">
      <c r="B6" s="677" t="str">
        <f>"Model Version: "&amp;MODEL_VERSION</f>
        <v>Model Version: 1.2.2</v>
      </c>
      <c r="C6" s="677"/>
      <c r="D6" s="677"/>
      <c r="F6" s="685" t="str">
        <f>Model_Name</f>
        <v>Seasonal Influenza Immunization Costing Tool (SIICT)  - Test Country</v>
      </c>
      <c r="G6" s="686"/>
      <c r="H6" s="686"/>
      <c r="I6" s="686"/>
      <c r="J6" s="686"/>
      <c r="K6" s="686"/>
      <c r="L6" s="686"/>
      <c r="M6" s="686"/>
      <c r="N6" s="686"/>
      <c r="O6" s="686"/>
      <c r="P6" s="686"/>
      <c r="Q6" s="686"/>
      <c r="R6" s="686"/>
      <c r="S6" s="686"/>
      <c r="T6" s="686"/>
      <c r="U6" s="686"/>
      <c r="V6" s="686"/>
    </row>
    <row r="7" spans="1:22" ht="27" customHeight="1">
      <c r="B7" s="691" t="s">
        <v>775</v>
      </c>
      <c r="C7" s="691"/>
      <c r="D7" s="691"/>
      <c r="F7" s="679" t="s">
        <v>563</v>
      </c>
      <c r="G7" s="680"/>
      <c r="H7" s="680"/>
      <c r="I7" s="211"/>
      <c r="J7" s="690" t="s">
        <v>562</v>
      </c>
      <c r="K7" s="690"/>
      <c r="L7" s="690"/>
      <c r="M7" s="690"/>
      <c r="N7" s="690"/>
      <c r="O7" s="690"/>
      <c r="P7" s="690"/>
      <c r="Q7" s="690"/>
      <c r="S7" s="687" t="s">
        <v>575</v>
      </c>
      <c r="T7" s="688"/>
      <c r="U7" s="688"/>
      <c r="V7" s="689"/>
    </row>
    <row r="8" spans="1:22" ht="39.9" customHeight="1" thickBot="1">
      <c r="B8" s="692" t="s">
        <v>711</v>
      </c>
      <c r="C8" s="692"/>
      <c r="D8" s="692"/>
      <c r="F8" s="212"/>
      <c r="G8" s="213"/>
      <c r="H8" s="213"/>
      <c r="I8" s="214"/>
      <c r="J8" s="678" t="s">
        <v>573</v>
      </c>
      <c r="K8" s="678"/>
      <c r="L8" s="678"/>
      <c r="M8" s="678"/>
      <c r="N8" s="215"/>
      <c r="O8" s="678" t="s">
        <v>574</v>
      </c>
      <c r="P8" s="678"/>
      <c r="Q8" s="678"/>
      <c r="S8" s="242"/>
      <c r="T8" s="243"/>
      <c r="U8" s="243"/>
      <c r="V8" s="244"/>
    </row>
    <row r="9" spans="1:22" ht="39.9" customHeight="1" thickBot="1">
      <c r="B9" s="693" t="str">
        <f>DASHBOARD!I75</f>
        <v>USD</v>
      </c>
      <c r="C9" s="694"/>
      <c r="D9" s="392">
        <f ca="1">DASHBOARD!J75</f>
        <v>95121.30333333333</v>
      </c>
      <c r="F9" s="212"/>
      <c r="G9" s="213"/>
      <c r="H9" s="213"/>
      <c r="I9" s="214"/>
      <c r="J9" s="215"/>
      <c r="K9" s="215"/>
      <c r="L9" s="215"/>
      <c r="M9" s="215"/>
      <c r="N9" s="248"/>
      <c r="O9" s="215"/>
      <c r="P9" s="215"/>
      <c r="Q9" s="215"/>
      <c r="S9" s="242"/>
      <c r="T9" s="243"/>
      <c r="U9" s="243"/>
      <c r="V9" s="244"/>
    </row>
    <row r="10" spans="1:22" ht="39.9" customHeight="1" thickBot="1">
      <c r="B10" s="692" t="s">
        <v>712</v>
      </c>
      <c r="C10" s="692"/>
      <c r="D10" s="692"/>
      <c r="F10" s="212"/>
      <c r="G10" s="213"/>
      <c r="H10" s="213"/>
      <c r="I10" s="214"/>
      <c r="J10" s="215"/>
      <c r="K10" s="216"/>
      <c r="L10" s="216"/>
      <c r="M10" s="216"/>
      <c r="N10" s="248"/>
      <c r="O10" s="215"/>
      <c r="P10" s="215"/>
      <c r="Q10" s="215"/>
      <c r="S10" s="242"/>
      <c r="T10" s="243"/>
      <c r="U10" s="243"/>
      <c r="V10" s="244"/>
    </row>
    <row r="11" spans="1:22" ht="39.9" customHeight="1" thickBot="1">
      <c r="B11" s="693" t="str">
        <f>DASHBOARD!M75</f>
        <v>USD</v>
      </c>
      <c r="C11" s="694"/>
      <c r="D11" s="392">
        <f ca="1">DASHBOARD!N75</f>
        <v>125063.57626990158</v>
      </c>
      <c r="F11" s="212"/>
      <c r="G11" s="213"/>
      <c r="H11" s="213"/>
      <c r="I11" s="214"/>
      <c r="J11" s="215"/>
      <c r="K11" s="215"/>
      <c r="L11" s="215"/>
      <c r="M11" s="215"/>
      <c r="N11" s="248"/>
      <c r="O11" s="215"/>
      <c r="P11" s="215"/>
      <c r="Q11" s="215"/>
      <c r="S11" s="242"/>
      <c r="T11" s="243"/>
      <c r="U11" s="243"/>
      <c r="V11" s="244"/>
    </row>
    <row r="12" spans="1:22" ht="39.9" customHeight="1" thickBot="1">
      <c r="B12" s="692" t="s">
        <v>713</v>
      </c>
      <c r="C12" s="692"/>
      <c r="D12" s="692"/>
      <c r="F12" s="212"/>
      <c r="G12" s="213"/>
      <c r="H12" s="213"/>
      <c r="I12" s="214"/>
      <c r="J12" s="215"/>
      <c r="K12" s="215"/>
      <c r="L12" s="215"/>
      <c r="M12" s="215"/>
      <c r="N12" s="248"/>
      <c r="O12" s="215"/>
      <c r="P12" s="215"/>
      <c r="Q12" s="215"/>
      <c r="S12" s="242"/>
      <c r="T12" s="243"/>
      <c r="U12" s="243"/>
      <c r="V12" s="244"/>
    </row>
    <row r="13" spans="1:22" ht="39.9" customHeight="1" thickBot="1">
      <c r="B13" s="693" t="s">
        <v>774</v>
      </c>
      <c r="C13" s="694"/>
      <c r="D13" s="392">
        <f>DASHBOARD!K41</f>
        <v>9048.2999999999993</v>
      </c>
      <c r="F13" s="212"/>
      <c r="G13" s="213"/>
      <c r="H13" s="213"/>
      <c r="I13" s="214"/>
      <c r="J13" s="215"/>
      <c r="K13" s="215"/>
      <c r="L13" s="215"/>
      <c r="M13" s="215"/>
      <c r="N13" s="248"/>
      <c r="O13" s="215"/>
      <c r="P13" s="215"/>
      <c r="Q13" s="215"/>
      <c r="S13" s="242"/>
      <c r="T13" s="243"/>
      <c r="U13" s="243"/>
      <c r="V13" s="244"/>
    </row>
    <row r="14" spans="1:22" ht="39.9" customHeight="1" thickBot="1">
      <c r="B14" s="692" t="s">
        <v>714</v>
      </c>
      <c r="C14" s="692"/>
      <c r="D14" s="692"/>
      <c r="F14" s="212"/>
      <c r="G14" s="213"/>
      <c r="H14" s="213"/>
      <c r="I14" s="214"/>
      <c r="J14" s="215"/>
      <c r="K14" s="215"/>
      <c r="L14" s="215"/>
      <c r="M14" s="215"/>
      <c r="N14" s="248"/>
      <c r="O14" s="215"/>
      <c r="P14" s="215"/>
      <c r="Q14" s="215"/>
      <c r="S14" s="242"/>
      <c r="T14" s="243"/>
      <c r="U14" s="243"/>
      <c r="V14" s="244"/>
    </row>
    <row r="15" spans="1:22" ht="39.9" customHeight="1" thickBot="1">
      <c r="B15" s="693" t="str">
        <f>DASHBOARD!I10</f>
        <v>USD</v>
      </c>
      <c r="C15" s="694"/>
      <c r="D15" s="393">
        <f ca="1">DASHBOARD!J10</f>
        <v>10.512615997848583</v>
      </c>
      <c r="F15" s="212"/>
      <c r="G15" s="213"/>
      <c r="H15" s="213"/>
      <c r="I15" s="214"/>
      <c r="J15" s="215"/>
      <c r="K15" s="215"/>
      <c r="L15" s="215"/>
      <c r="M15" s="215"/>
      <c r="N15" s="248"/>
      <c r="O15" s="215"/>
      <c r="P15" s="215"/>
      <c r="Q15" s="215"/>
      <c r="S15" s="242"/>
      <c r="T15" s="243"/>
      <c r="U15" s="243"/>
      <c r="V15" s="244"/>
    </row>
    <row r="16" spans="1:22" ht="39.9" customHeight="1" thickBot="1">
      <c r="B16" s="692" t="s">
        <v>715</v>
      </c>
      <c r="C16" s="692"/>
      <c r="D16" s="692"/>
      <c r="F16" s="212"/>
      <c r="G16" s="213"/>
      <c r="H16" s="213"/>
      <c r="I16" s="214"/>
      <c r="J16" s="215"/>
      <c r="K16" s="215"/>
      <c r="L16" s="215"/>
      <c r="M16" s="215"/>
      <c r="N16" s="248"/>
      <c r="O16" s="215"/>
      <c r="P16" s="215"/>
      <c r="Q16" s="215"/>
      <c r="S16" s="242"/>
      <c r="T16" s="243"/>
      <c r="U16" s="243"/>
      <c r="V16" s="244"/>
    </row>
    <row r="17" spans="2:22" ht="39.9" customHeight="1" thickBot="1">
      <c r="B17" s="693" t="str">
        <f>DASHBOARD!M10</f>
        <v>USD</v>
      </c>
      <c r="C17" s="694"/>
      <c r="D17" s="393">
        <f ca="1">DASHBOARD!N10</f>
        <v>13.821776054054528</v>
      </c>
      <c r="F17" s="212"/>
      <c r="G17" s="213"/>
      <c r="H17" s="213"/>
      <c r="I17" s="214"/>
      <c r="J17" s="215"/>
      <c r="K17" s="215"/>
      <c r="L17" s="215"/>
      <c r="M17" s="215"/>
      <c r="N17" s="248"/>
      <c r="O17" s="215"/>
      <c r="P17" s="215"/>
      <c r="Q17" s="215"/>
      <c r="S17" s="242"/>
      <c r="T17" s="243"/>
      <c r="U17" s="243"/>
      <c r="V17" s="244"/>
    </row>
    <row r="18" spans="2:22" ht="39.9" customHeight="1">
      <c r="F18" s="212"/>
      <c r="G18" s="213"/>
      <c r="H18" s="213"/>
      <c r="I18" s="214"/>
      <c r="J18" s="215"/>
      <c r="K18" s="215"/>
      <c r="L18" s="215"/>
      <c r="M18" s="215"/>
      <c r="N18" s="248"/>
      <c r="O18" s="215"/>
      <c r="P18" s="215"/>
      <c r="Q18" s="215"/>
      <c r="S18" s="242"/>
      <c r="T18" s="243"/>
      <c r="U18" s="243"/>
      <c r="V18" s="244"/>
    </row>
    <row r="19" spans="2:22" ht="39.9" customHeight="1">
      <c r="F19" s="212"/>
      <c r="G19" s="213"/>
      <c r="H19" s="213"/>
      <c r="I19" s="214"/>
      <c r="J19" s="215"/>
      <c r="K19" s="215"/>
      <c r="L19" s="215"/>
      <c r="M19" s="215"/>
      <c r="N19" s="215"/>
      <c r="O19" s="215"/>
      <c r="P19" s="215"/>
      <c r="Q19" s="215"/>
      <c r="S19" s="242"/>
      <c r="T19" s="243"/>
      <c r="U19" s="243"/>
      <c r="V19" s="244"/>
    </row>
    <row r="20" spans="2:22" ht="39.9" customHeight="1">
      <c r="F20" s="212"/>
      <c r="G20" s="213"/>
      <c r="H20" s="213"/>
      <c r="I20" s="214"/>
      <c r="J20" s="215"/>
      <c r="K20" s="215"/>
      <c r="L20" s="215"/>
      <c r="M20" s="215"/>
      <c r="N20" s="215"/>
      <c r="O20" s="215"/>
      <c r="P20" s="215"/>
      <c r="Q20" s="215"/>
      <c r="S20" s="242"/>
      <c r="T20" s="243"/>
      <c r="U20" s="243"/>
      <c r="V20" s="244"/>
    </row>
    <row r="21" spans="2:22" ht="39.9" customHeight="1">
      <c r="F21" s="212"/>
      <c r="G21" s="213"/>
      <c r="H21" s="213"/>
      <c r="I21" s="214"/>
      <c r="J21" s="215"/>
      <c r="K21" s="215"/>
      <c r="L21" s="215"/>
      <c r="M21" s="215"/>
      <c r="N21" s="215"/>
      <c r="O21" s="215"/>
      <c r="P21" s="215"/>
      <c r="Q21" s="215"/>
      <c r="S21" s="242"/>
      <c r="T21" s="243"/>
      <c r="U21" s="243"/>
      <c r="V21" s="244"/>
    </row>
    <row r="22" spans="2:22" ht="39.9" customHeight="1">
      <c r="F22" s="212"/>
      <c r="G22" s="213"/>
      <c r="H22" s="213"/>
      <c r="I22" s="214"/>
      <c r="J22" s="215"/>
      <c r="K22" s="215"/>
      <c r="L22" s="215"/>
      <c r="M22" s="215"/>
      <c r="N22" s="215"/>
      <c r="O22" s="215"/>
      <c r="P22" s="215"/>
      <c r="Q22" s="215"/>
      <c r="S22" s="242"/>
      <c r="T22" s="243"/>
      <c r="U22" s="243"/>
      <c r="V22" s="244"/>
    </row>
    <row r="23" spans="2:22" ht="39.9" customHeight="1">
      <c r="F23" s="212"/>
      <c r="G23" s="213"/>
      <c r="H23" s="213"/>
      <c r="I23" s="214"/>
      <c r="J23" s="215"/>
      <c r="K23" s="215"/>
      <c r="L23" s="215"/>
      <c r="M23" s="215"/>
      <c r="N23" s="215"/>
      <c r="O23" s="215"/>
      <c r="P23" s="215"/>
      <c r="Q23" s="215"/>
      <c r="S23" s="242"/>
      <c r="T23" s="243"/>
      <c r="U23" s="243"/>
      <c r="V23" s="244"/>
    </row>
    <row r="24" spans="2:22" ht="39.9" customHeight="1" thickBot="1">
      <c r="F24" s="217"/>
      <c r="G24" s="218"/>
      <c r="H24" s="218"/>
      <c r="I24" s="219"/>
      <c r="J24" s="220"/>
      <c r="K24" s="220"/>
      <c r="L24" s="220"/>
      <c r="M24" s="220"/>
      <c r="N24" s="220"/>
      <c r="O24" s="220"/>
      <c r="P24" s="220"/>
      <c r="Q24" s="220"/>
      <c r="R24" s="219"/>
      <c r="S24" s="245"/>
      <c r="T24" s="246"/>
      <c r="U24" s="246"/>
      <c r="V24" s="247"/>
    </row>
  </sheetData>
  <mergeCells count="23">
    <mergeCell ref="B9:C9"/>
    <mergeCell ref="B11:C11"/>
    <mergeCell ref="B15:C15"/>
    <mergeCell ref="B17:C17"/>
    <mergeCell ref="B13:C13"/>
    <mergeCell ref="B14:D14"/>
    <mergeCell ref="B16:D16"/>
    <mergeCell ref="B10:D10"/>
    <mergeCell ref="B12:D12"/>
    <mergeCell ref="B3:D3"/>
    <mergeCell ref="B6:D6"/>
    <mergeCell ref="J8:M8"/>
    <mergeCell ref="O8:Q8"/>
    <mergeCell ref="F7:H7"/>
    <mergeCell ref="B4:C4"/>
    <mergeCell ref="D4:E4"/>
    <mergeCell ref="F4:H4"/>
    <mergeCell ref="J4:K4"/>
    <mergeCell ref="F6:V6"/>
    <mergeCell ref="S7:V7"/>
    <mergeCell ref="J7:Q7"/>
    <mergeCell ref="B7:D7"/>
    <mergeCell ref="B8:D8"/>
  </mergeCells>
  <hyperlinks>
    <hyperlink ref="A4" location="$B$5" tooltip="Go to Top of Sheet" display="$B$5" xr:uid="{00000000-0004-0000-0100-000000000000}"/>
    <hyperlink ref="D4" location="HL_Sheet_Main_2" tooltip="Go to Next Sheet" display="HL_Sheet_Main_2" xr:uid="{00000000-0004-0000-0100-000001000000}"/>
    <hyperlink ref="B7:D7" location="SELECT_CURRENCY_DASHBOARD" display="(CLICK TO CHANGE CURRENCY ON DASHBOARD)" xr:uid="{00000000-0004-0000-0100-000002000000}"/>
    <hyperlink ref="B4" location="HL_Cover" tooltip="Go to Previous Sheet" display="HL_Cover" xr:uid="{00000000-0004-0000-0100-000003000000}"/>
    <hyperlink ref="B3" location="HL_Home" tooltip="Go to Table of Contents" display="HL_Home" xr:uid="{00000000-0004-0000-0100-000004000000}"/>
    <hyperlink ref="F4" location="HL_Err_Chk" tooltip="Go to Error Checks" display="HL_Err_Chk" xr:uid="{00000000-0004-0000-0100-000005000000}"/>
    <hyperlink ref="J4" location="HL_Alt_Chk" tooltip="Go to Alert Checks" display="HL_Alt_Chk" xr:uid="{00000000-0004-0000-0100-000006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indexed="62"/>
    <pageSetUpPr autoPageBreaks="0"/>
  </sheetPr>
  <dimension ref="A1:P253"/>
  <sheetViews>
    <sheetView showGridLines="0" zoomScaleNormal="100" workbookViewId="0">
      <pane xSplit="1" ySplit="4" topLeftCell="B139" activePane="bottomRight" state="frozen"/>
      <selection pane="topRight"/>
      <selection pane="bottomLeft"/>
      <selection pane="bottomRight" activeCell="C173" sqref="C173"/>
    </sheetView>
  </sheetViews>
  <sheetFormatPr defaultColWidth="11.6640625" defaultRowHeight="14.4" outlineLevelRow="1"/>
  <cols>
    <col min="1" max="5" width="3.6640625" style="134" customWidth="1"/>
    <col min="6" max="7" width="11.6640625" style="134" customWidth="1"/>
    <col min="8" max="8" width="30.6640625" style="134" customWidth="1"/>
    <col min="9" max="14" width="11.6640625" style="134" customWidth="1"/>
    <col min="15" max="15" width="15.77734375" style="134" customWidth="1"/>
    <col min="16" max="16" width="25.77734375" style="134" customWidth="1"/>
    <col min="17" max="16384" width="11.6640625" style="134"/>
  </cols>
  <sheetData>
    <row r="1" spans="1:16" ht="21">
      <c r="B1" s="46" t="s">
        <v>532</v>
      </c>
    </row>
    <row r="2" spans="1:16" ht="18">
      <c r="B2" s="47" t="str">
        <f>Model_Name</f>
        <v>Seasonal Influenza Immunization Costing Tool (SIICT)  - Test Country</v>
      </c>
    </row>
    <row r="3" spans="1:16">
      <c r="B3" s="716" t="s">
        <v>1</v>
      </c>
      <c r="C3" s="716"/>
      <c r="D3" s="716"/>
      <c r="E3" s="716"/>
      <c r="F3" s="716"/>
    </row>
    <row r="4" spans="1:16">
      <c r="A4" s="48" t="s">
        <v>3</v>
      </c>
      <c r="B4" s="49" t="s">
        <v>4</v>
      </c>
      <c r="C4" s="50" t="s">
        <v>5</v>
      </c>
      <c r="D4" s="51" t="s">
        <v>25</v>
      </c>
      <c r="E4" s="79" t="s">
        <v>26</v>
      </c>
      <c r="F4" s="52" t="s">
        <v>27</v>
      </c>
    </row>
    <row r="7" spans="1:16" ht="17.399999999999999">
      <c r="B7" s="15" t="s">
        <v>260</v>
      </c>
    </row>
    <row r="9" spans="1:16" s="23" customFormat="1" ht="15.6">
      <c r="C9" s="171" t="str">
        <f>"Detailed Cost Estimate: "&amp;FLU_LU!$D$348</f>
        <v>Detailed Cost Estimate: Routine Immunization by a Facility Nurse</v>
      </c>
    </row>
    <row r="10" spans="1:16" s="23" customFormat="1"/>
    <row r="12" spans="1:16">
      <c r="C12" s="153" t="str">
        <f>FLU_LU!$D$278</f>
        <v xml:space="preserve">Personnel </v>
      </c>
    </row>
    <row r="13" spans="1:16" ht="43.2" outlineLevel="1">
      <c r="D13" s="733" t="s">
        <v>100</v>
      </c>
      <c r="E13" s="733"/>
      <c r="F13" s="733"/>
      <c r="G13" s="733"/>
      <c r="H13" s="142" t="s">
        <v>274</v>
      </c>
      <c r="I13" s="72" t="s">
        <v>474</v>
      </c>
      <c r="J13" s="152" t="s">
        <v>67</v>
      </c>
      <c r="K13" s="72" t="s">
        <v>475</v>
      </c>
      <c r="L13" s="28" t="str">
        <f>"Financial Price ("&amp;FLU_LU!$D$79&amp;")"</f>
        <v>Financial Price (GOZ)</v>
      </c>
      <c r="M13" s="28" t="str">
        <f>"Economic Price ("&amp;FLU_LU!$D$79&amp;")"</f>
        <v>Economic Price (GOZ)</v>
      </c>
      <c r="N13" s="28" t="str">
        <f>"Financial Price ("&amp;FLU_LU!$D$78&amp;")"</f>
        <v>Financial Price (USD)</v>
      </c>
      <c r="O13" s="28" t="str">
        <f>"Economic Price ("&amp;FLU_LU!$D$78&amp;")"</f>
        <v>Economic Price (USD)</v>
      </c>
      <c r="P13" s="152" t="s">
        <v>68</v>
      </c>
    </row>
    <row r="14" spans="1:16" s="23" customFormat="1" outlineLevel="1">
      <c r="D14" s="746">
        <v>19</v>
      </c>
      <c r="E14" s="746"/>
      <c r="F14" s="746"/>
      <c r="G14" s="749"/>
      <c r="H14" s="151" t="s">
        <v>493</v>
      </c>
      <c r="I14" s="31">
        <v>3</v>
      </c>
      <c r="J14" s="64">
        <v>3</v>
      </c>
      <c r="K14" s="135">
        <f t="shared" ref="K14:K28" si="0">IF(I14=1,J14/FLU_DAYS_PER_MONTH,IF(I14=2,J14/FLU_HOURS_PER_MONTH,J14/FLU_MINUTES_PER_MONTH))</f>
        <v>2.8409090909090908E-4</v>
      </c>
      <c r="L14" s="162">
        <f ca="1">OFFSET(Cost_Ingredients!$N$73,D14,0)*K14</f>
        <v>0</v>
      </c>
      <c r="M14" s="162">
        <f ca="1">OFFSET(Cost_Ingredients!$O$73,D14,0)*K14</f>
        <v>14.91903409090909</v>
      </c>
      <c r="N14" s="179">
        <f ca="1">L14/Cost_Ingredients!$J$21</f>
        <v>0</v>
      </c>
      <c r="O14" s="179">
        <f ca="1">M14/Cost_Ingredients!$J$21</f>
        <v>9.946022727272727E-2</v>
      </c>
      <c r="P14" s="151"/>
    </row>
    <row r="15" spans="1:16" s="23" customFormat="1" outlineLevel="1">
      <c r="D15" s="746">
        <v>19</v>
      </c>
      <c r="E15" s="746"/>
      <c r="F15" s="746"/>
      <c r="G15" s="749"/>
      <c r="H15" s="151" t="s">
        <v>685</v>
      </c>
      <c r="I15" s="31">
        <v>3</v>
      </c>
      <c r="J15" s="64">
        <v>3</v>
      </c>
      <c r="K15" s="135">
        <f t="shared" si="0"/>
        <v>2.8409090909090908E-4</v>
      </c>
      <c r="L15" s="162">
        <f ca="1">OFFSET(Cost_Ingredients!$N$73,D15,0)*K15</f>
        <v>0</v>
      </c>
      <c r="M15" s="162">
        <f ca="1">OFFSET(Cost_Ingredients!$O$73,D15,0)*K15</f>
        <v>14.91903409090909</v>
      </c>
      <c r="N15" s="179">
        <f ca="1">L15/Cost_Ingredients!$J$21</f>
        <v>0</v>
      </c>
      <c r="O15" s="179">
        <f ca="1">M15/Cost_Ingredients!$J$21</f>
        <v>9.946022727272727E-2</v>
      </c>
      <c r="P15" s="151"/>
    </row>
    <row r="16" spans="1:16" s="23" customFormat="1" outlineLevel="1">
      <c r="D16" s="746">
        <v>1</v>
      </c>
      <c r="E16" s="746"/>
      <c r="F16" s="746"/>
      <c r="G16" s="749"/>
      <c r="H16" s="151"/>
      <c r="I16" s="31">
        <v>3</v>
      </c>
      <c r="J16" s="64"/>
      <c r="K16" s="135">
        <f t="shared" si="0"/>
        <v>0</v>
      </c>
      <c r="L16" s="162">
        <f ca="1">OFFSET(Cost_Ingredients!$N$73,D16,0)*K16</f>
        <v>0</v>
      </c>
      <c r="M16" s="162">
        <f ca="1">OFFSET(Cost_Ingredients!$O$73,D16,0)*K16</f>
        <v>0</v>
      </c>
      <c r="N16" s="179">
        <f ca="1">L16/Cost_Ingredients!$J$21</f>
        <v>0</v>
      </c>
      <c r="O16" s="179">
        <f ca="1">M16/Cost_Ingredients!$J$21</f>
        <v>0</v>
      </c>
      <c r="P16" s="151"/>
    </row>
    <row r="17" spans="3:16" s="23" customFormat="1" outlineLevel="1">
      <c r="D17" s="746">
        <v>1</v>
      </c>
      <c r="E17" s="746"/>
      <c r="F17" s="746"/>
      <c r="G17" s="749"/>
      <c r="H17" s="151"/>
      <c r="I17" s="31">
        <v>3</v>
      </c>
      <c r="J17" s="64"/>
      <c r="K17" s="135">
        <f t="shared" si="0"/>
        <v>0</v>
      </c>
      <c r="L17" s="162">
        <f ca="1">OFFSET(Cost_Ingredients!$N$73,D17,0)*K17</f>
        <v>0</v>
      </c>
      <c r="M17" s="162">
        <f ca="1">OFFSET(Cost_Ingredients!$O$73,D17,0)*K17</f>
        <v>0</v>
      </c>
      <c r="N17" s="179">
        <f ca="1">L17/Cost_Ingredients!$J$21</f>
        <v>0</v>
      </c>
      <c r="O17" s="179">
        <f ca="1">M17/Cost_Ingredients!$J$21</f>
        <v>0</v>
      </c>
      <c r="P17" s="151"/>
    </row>
    <row r="18" spans="3:16" s="23" customFormat="1" outlineLevel="1">
      <c r="D18" s="746">
        <v>1</v>
      </c>
      <c r="E18" s="746"/>
      <c r="F18" s="746"/>
      <c r="G18" s="749"/>
      <c r="H18" s="151"/>
      <c r="I18" s="31">
        <v>3</v>
      </c>
      <c r="J18" s="64"/>
      <c r="K18" s="135">
        <f t="shared" si="0"/>
        <v>0</v>
      </c>
      <c r="L18" s="162">
        <f ca="1">OFFSET(Cost_Ingredients!$N$73,D18,0)*K18</f>
        <v>0</v>
      </c>
      <c r="M18" s="162">
        <f ca="1">OFFSET(Cost_Ingredients!$O$73,D18,0)*K18</f>
        <v>0</v>
      </c>
      <c r="N18" s="179">
        <f ca="1">L18/Cost_Ingredients!$J$21</f>
        <v>0</v>
      </c>
      <c r="O18" s="179">
        <f ca="1">M18/Cost_Ingredients!$J$21</f>
        <v>0</v>
      </c>
      <c r="P18" s="151"/>
    </row>
    <row r="19" spans="3:16" s="23" customFormat="1" outlineLevel="1">
      <c r="D19" s="746">
        <v>1</v>
      </c>
      <c r="E19" s="746"/>
      <c r="F19" s="746"/>
      <c r="G19" s="749"/>
      <c r="H19" s="151"/>
      <c r="I19" s="31">
        <v>3</v>
      </c>
      <c r="J19" s="64"/>
      <c r="K19" s="135">
        <f t="shared" si="0"/>
        <v>0</v>
      </c>
      <c r="L19" s="162">
        <f ca="1">OFFSET(Cost_Ingredients!$N$73,D19,0)*K19</f>
        <v>0</v>
      </c>
      <c r="M19" s="162">
        <f ca="1">OFFSET(Cost_Ingredients!$O$73,D19,0)*K19</f>
        <v>0</v>
      </c>
      <c r="N19" s="179">
        <f ca="1">L19/Cost_Ingredients!$J$21</f>
        <v>0</v>
      </c>
      <c r="O19" s="179">
        <f ca="1">M19/Cost_Ingredients!$J$21</f>
        <v>0</v>
      </c>
      <c r="P19" s="151"/>
    </row>
    <row r="20" spans="3:16" s="23" customFormat="1" outlineLevel="1">
      <c r="D20" s="746">
        <v>1</v>
      </c>
      <c r="E20" s="746"/>
      <c r="F20" s="746"/>
      <c r="G20" s="749"/>
      <c r="H20" s="151"/>
      <c r="I20" s="31">
        <v>3</v>
      </c>
      <c r="J20" s="64"/>
      <c r="K20" s="135">
        <f t="shared" si="0"/>
        <v>0</v>
      </c>
      <c r="L20" s="162">
        <f ca="1">OFFSET(Cost_Ingredients!$N$73,D20,0)*K20</f>
        <v>0</v>
      </c>
      <c r="M20" s="162">
        <f ca="1">OFFSET(Cost_Ingredients!$O$73,D20,0)*K20</f>
        <v>0</v>
      </c>
      <c r="N20" s="179">
        <f ca="1">L20/Cost_Ingredients!$J$21</f>
        <v>0</v>
      </c>
      <c r="O20" s="179">
        <f ca="1">M20/Cost_Ingredients!$J$21</f>
        <v>0</v>
      </c>
      <c r="P20" s="151"/>
    </row>
    <row r="21" spans="3:16" s="23" customFormat="1" outlineLevel="1">
      <c r="D21" s="746">
        <v>1</v>
      </c>
      <c r="E21" s="746"/>
      <c r="F21" s="746"/>
      <c r="G21" s="749"/>
      <c r="H21" s="151"/>
      <c r="I21" s="31">
        <v>1</v>
      </c>
      <c r="J21" s="64">
        <v>0</v>
      </c>
      <c r="K21" s="135">
        <f t="shared" si="0"/>
        <v>0</v>
      </c>
      <c r="L21" s="162">
        <f ca="1">OFFSET(Cost_Ingredients!$N$73,D21,0)*K21</f>
        <v>0</v>
      </c>
      <c r="M21" s="162">
        <f ca="1">OFFSET(Cost_Ingredients!$O$73,D21,0)*K21</f>
        <v>0</v>
      </c>
      <c r="N21" s="179">
        <f ca="1">L21/Cost_Ingredients!$J$21</f>
        <v>0</v>
      </c>
      <c r="O21" s="179">
        <f ca="1">M21/Cost_Ingredients!$J$21</f>
        <v>0</v>
      </c>
      <c r="P21" s="151"/>
    </row>
    <row r="22" spans="3:16" s="23" customFormat="1" outlineLevel="1">
      <c r="D22" s="746">
        <v>1</v>
      </c>
      <c r="E22" s="746"/>
      <c r="F22" s="746"/>
      <c r="G22" s="749"/>
      <c r="H22" s="151"/>
      <c r="I22" s="31">
        <v>1</v>
      </c>
      <c r="J22" s="64">
        <v>0</v>
      </c>
      <c r="K22" s="135">
        <f t="shared" si="0"/>
        <v>0</v>
      </c>
      <c r="L22" s="162">
        <f ca="1">OFFSET(Cost_Ingredients!$N$73,D22,0)*K22</f>
        <v>0</v>
      </c>
      <c r="M22" s="162">
        <f ca="1">OFFSET(Cost_Ingredients!$O$73,D22,0)*K22</f>
        <v>0</v>
      </c>
      <c r="N22" s="179">
        <f ca="1">L22/Cost_Ingredients!$J$21</f>
        <v>0</v>
      </c>
      <c r="O22" s="179">
        <f ca="1">M22/Cost_Ingredients!$J$21</f>
        <v>0</v>
      </c>
      <c r="P22" s="151"/>
    </row>
    <row r="23" spans="3:16" s="23" customFormat="1" outlineLevel="1">
      <c r="D23" s="746">
        <v>1</v>
      </c>
      <c r="E23" s="746"/>
      <c r="F23" s="746"/>
      <c r="G23" s="749"/>
      <c r="H23" s="151"/>
      <c r="I23" s="31">
        <v>1</v>
      </c>
      <c r="J23" s="64">
        <v>0</v>
      </c>
      <c r="K23" s="135">
        <f t="shared" si="0"/>
        <v>0</v>
      </c>
      <c r="L23" s="162">
        <f ca="1">OFFSET(Cost_Ingredients!$N$73,D23,0)*K23</f>
        <v>0</v>
      </c>
      <c r="M23" s="162">
        <f ca="1">OFFSET(Cost_Ingredients!$O$73,D23,0)*K23</f>
        <v>0</v>
      </c>
      <c r="N23" s="179">
        <f ca="1">L23/Cost_Ingredients!$J$21</f>
        <v>0</v>
      </c>
      <c r="O23" s="179">
        <f ca="1">M23/Cost_Ingredients!$J$21</f>
        <v>0</v>
      </c>
      <c r="P23" s="151"/>
    </row>
    <row r="24" spans="3:16" s="23" customFormat="1" outlineLevel="1">
      <c r="D24" s="746">
        <v>1</v>
      </c>
      <c r="E24" s="746"/>
      <c r="F24" s="746"/>
      <c r="G24" s="749"/>
      <c r="H24" s="151"/>
      <c r="I24" s="31">
        <v>1</v>
      </c>
      <c r="J24" s="64">
        <v>0</v>
      </c>
      <c r="K24" s="135">
        <f t="shared" si="0"/>
        <v>0</v>
      </c>
      <c r="L24" s="162">
        <f ca="1">OFFSET(Cost_Ingredients!$N$73,D24,0)*K24</f>
        <v>0</v>
      </c>
      <c r="M24" s="162">
        <f ca="1">OFFSET(Cost_Ingredients!$O$73,D24,0)*K24</f>
        <v>0</v>
      </c>
      <c r="N24" s="179">
        <f ca="1">L24/Cost_Ingredients!$J$21</f>
        <v>0</v>
      </c>
      <c r="O24" s="179">
        <f ca="1">M24/Cost_Ingredients!$J$21</f>
        <v>0</v>
      </c>
      <c r="P24" s="151"/>
    </row>
    <row r="25" spans="3:16" s="23" customFormat="1" outlineLevel="1">
      <c r="D25" s="746">
        <v>1</v>
      </c>
      <c r="E25" s="746"/>
      <c r="F25" s="746"/>
      <c r="G25" s="749"/>
      <c r="H25" s="151"/>
      <c r="I25" s="31">
        <v>1</v>
      </c>
      <c r="J25" s="64">
        <v>0</v>
      </c>
      <c r="K25" s="135">
        <f t="shared" si="0"/>
        <v>0</v>
      </c>
      <c r="L25" s="162">
        <f ca="1">OFFSET(Cost_Ingredients!$N$73,D25,0)*K25</f>
        <v>0</v>
      </c>
      <c r="M25" s="162">
        <f ca="1">OFFSET(Cost_Ingredients!$O$73,D25,0)*K25</f>
        <v>0</v>
      </c>
      <c r="N25" s="179">
        <f ca="1">L25/Cost_Ingredients!$J$21</f>
        <v>0</v>
      </c>
      <c r="O25" s="179">
        <f ca="1">M25/Cost_Ingredients!$J$21</f>
        <v>0</v>
      </c>
      <c r="P25" s="151"/>
    </row>
    <row r="26" spans="3:16" s="23" customFormat="1" outlineLevel="1">
      <c r="D26" s="746">
        <v>1</v>
      </c>
      <c r="E26" s="746"/>
      <c r="F26" s="746"/>
      <c r="G26" s="749"/>
      <c r="H26" s="151"/>
      <c r="I26" s="31">
        <v>1</v>
      </c>
      <c r="J26" s="64">
        <v>0</v>
      </c>
      <c r="K26" s="135">
        <f t="shared" si="0"/>
        <v>0</v>
      </c>
      <c r="L26" s="162">
        <f ca="1">OFFSET(Cost_Ingredients!$N$73,D26,0)*K26</f>
        <v>0</v>
      </c>
      <c r="M26" s="162">
        <f ca="1">OFFSET(Cost_Ingredients!$O$73,D26,0)*K26</f>
        <v>0</v>
      </c>
      <c r="N26" s="179">
        <f ca="1">L26/Cost_Ingredients!$J$21</f>
        <v>0</v>
      </c>
      <c r="O26" s="179">
        <f ca="1">M26/Cost_Ingredients!$J$21</f>
        <v>0</v>
      </c>
      <c r="P26" s="151"/>
    </row>
    <row r="27" spans="3:16" s="23" customFormat="1" outlineLevel="1">
      <c r="D27" s="746">
        <v>1</v>
      </c>
      <c r="E27" s="746"/>
      <c r="F27" s="746"/>
      <c r="G27" s="749"/>
      <c r="H27" s="151"/>
      <c r="I27" s="31">
        <v>1</v>
      </c>
      <c r="J27" s="64">
        <v>0</v>
      </c>
      <c r="K27" s="135">
        <f t="shared" si="0"/>
        <v>0</v>
      </c>
      <c r="L27" s="162">
        <f ca="1">OFFSET(Cost_Ingredients!$N$73,D27,0)*K27</f>
        <v>0</v>
      </c>
      <c r="M27" s="162">
        <f ca="1">OFFSET(Cost_Ingredients!$O$73,D27,0)*K27</f>
        <v>0</v>
      </c>
      <c r="N27" s="179">
        <f ca="1">L27/Cost_Ingredients!$J$21</f>
        <v>0</v>
      </c>
      <c r="O27" s="179">
        <f ca="1">M27/Cost_Ingredients!$J$21</f>
        <v>0</v>
      </c>
      <c r="P27" s="151"/>
    </row>
    <row r="28" spans="3:16" s="23" customFormat="1" outlineLevel="1">
      <c r="D28" s="746">
        <v>1</v>
      </c>
      <c r="E28" s="746"/>
      <c r="F28" s="746"/>
      <c r="G28" s="749"/>
      <c r="H28" s="172"/>
      <c r="I28" s="31">
        <v>1</v>
      </c>
      <c r="J28" s="173">
        <v>0</v>
      </c>
      <c r="K28" s="135">
        <f t="shared" si="0"/>
        <v>0</v>
      </c>
      <c r="L28" s="162">
        <f ca="1">OFFSET(Cost_Ingredients!$N$73,D28,0)*K28</f>
        <v>0</v>
      </c>
      <c r="M28" s="162">
        <f ca="1">OFFSET(Cost_Ingredients!$O$73,D28,0)*K28</f>
        <v>0</v>
      </c>
      <c r="N28" s="179">
        <f ca="1">L28/Cost_Ingredients!$J$21</f>
        <v>0</v>
      </c>
      <c r="O28" s="179">
        <f ca="1">M28/Cost_Ingredients!$J$21</f>
        <v>0</v>
      </c>
      <c r="P28" s="172"/>
    </row>
    <row r="29" spans="3:16" s="23" customFormat="1">
      <c r="D29" s="774" t="str">
        <f>"Subtotal - "&amp;C12</f>
        <v xml:space="preserve">Subtotal - Personnel </v>
      </c>
      <c r="E29" s="774"/>
      <c r="F29" s="774"/>
      <c r="G29" s="774"/>
      <c r="H29" s="156"/>
      <c r="I29" s="12"/>
      <c r="J29" s="69"/>
      <c r="K29" s="18"/>
      <c r="L29" s="255">
        <f ca="1">SUM(L14:L28)</f>
        <v>0</v>
      </c>
      <c r="M29" s="255">
        <f ca="1">SUM(M14:M28)</f>
        <v>29.83806818181818</v>
      </c>
      <c r="N29" s="258">
        <f ca="1">SUM(N14:N28)</f>
        <v>0</v>
      </c>
      <c r="O29" s="258">
        <f ca="1">SUM(O14:O28)</f>
        <v>0.19892045454545454</v>
      </c>
      <c r="P29" s="156"/>
    </row>
    <row r="31" spans="3:16">
      <c r="C31" s="153" t="str">
        <f>FLU_LU!$D$279</f>
        <v>Allowances</v>
      </c>
    </row>
    <row r="32" spans="3:16" ht="28.8" outlineLevel="1">
      <c r="D32" s="733" t="s">
        <v>100</v>
      </c>
      <c r="E32" s="733"/>
      <c r="F32" s="733"/>
      <c r="G32" s="733"/>
      <c r="H32" s="730" t="s">
        <v>274</v>
      </c>
      <c r="I32" s="730"/>
      <c r="J32" s="152" t="s">
        <v>67</v>
      </c>
      <c r="L32" s="28" t="str">
        <f>"Financial Price ("&amp;FLU_LU!$D$79&amp;")"</f>
        <v>Financial Price (GOZ)</v>
      </c>
      <c r="M32" s="28" t="str">
        <f>"Economic Price ("&amp;FLU_LU!$D$79&amp;")"</f>
        <v>Economic Price (GOZ)</v>
      </c>
      <c r="N32" s="28" t="str">
        <f>"Financial Price ("&amp;FLU_LU!$D$78&amp;")"</f>
        <v>Financial Price (USD)</v>
      </c>
      <c r="O32" s="28" t="str">
        <f>"Economic Price ("&amp;FLU_LU!$D$78&amp;")"</f>
        <v>Economic Price (USD)</v>
      </c>
      <c r="P32" s="152" t="s">
        <v>68</v>
      </c>
    </row>
    <row r="33" spans="4:16" s="23" customFormat="1" outlineLevel="1">
      <c r="D33" s="746">
        <v>1</v>
      </c>
      <c r="E33" s="746"/>
      <c r="F33" s="746"/>
      <c r="G33" s="749"/>
      <c r="H33" s="667"/>
      <c r="I33" s="667"/>
      <c r="J33" s="64"/>
      <c r="L33" s="162">
        <f ca="1">OFFSET(Cost_Ingredients!$N$103,D33,0)*J33</f>
        <v>0</v>
      </c>
      <c r="M33" s="162">
        <f ca="1">OFFSET(Cost_Ingredients!$O$103,D33,0)*J33</f>
        <v>0</v>
      </c>
      <c r="N33" s="163">
        <f ca="1">L33/Cost_Ingredients!$J$21</f>
        <v>0</v>
      </c>
      <c r="O33" s="163">
        <f ca="1">M33/Cost_Ingredients!$J$21</f>
        <v>0</v>
      </c>
      <c r="P33" s="151"/>
    </row>
    <row r="34" spans="4:16" s="23" customFormat="1" outlineLevel="1">
      <c r="D34" s="746">
        <v>1</v>
      </c>
      <c r="E34" s="746"/>
      <c r="F34" s="746"/>
      <c r="G34" s="749"/>
      <c r="H34" s="667"/>
      <c r="I34" s="667"/>
      <c r="J34" s="64"/>
      <c r="L34" s="162">
        <f ca="1">OFFSET(Cost_Ingredients!$N$103,D34,0)*J34</f>
        <v>0</v>
      </c>
      <c r="M34" s="162">
        <f ca="1">OFFSET(Cost_Ingredients!$O$103,D34,0)*J34</f>
        <v>0</v>
      </c>
      <c r="N34" s="163">
        <f ca="1">L34/Cost_Ingredients!$J$21</f>
        <v>0</v>
      </c>
      <c r="O34" s="163">
        <f ca="1">M34/Cost_Ingredients!$J$21</f>
        <v>0</v>
      </c>
      <c r="P34" s="151"/>
    </row>
    <row r="35" spans="4:16" s="23" customFormat="1" outlineLevel="1">
      <c r="D35" s="746">
        <v>1</v>
      </c>
      <c r="E35" s="746"/>
      <c r="F35" s="746"/>
      <c r="G35" s="749"/>
      <c r="H35" s="667"/>
      <c r="I35" s="667"/>
      <c r="J35" s="64"/>
      <c r="L35" s="162">
        <f ca="1">OFFSET(Cost_Ingredients!$N$103,D35,0)*J35</f>
        <v>0</v>
      </c>
      <c r="M35" s="162">
        <f ca="1">OFFSET(Cost_Ingredients!$O$103,D35,0)*J35</f>
        <v>0</v>
      </c>
      <c r="N35" s="163">
        <f ca="1">L35/Cost_Ingredients!$J$21</f>
        <v>0</v>
      </c>
      <c r="O35" s="163">
        <f ca="1">M35/Cost_Ingredients!$J$21</f>
        <v>0</v>
      </c>
      <c r="P35" s="151"/>
    </row>
    <row r="36" spans="4:16" s="23" customFormat="1" outlineLevel="1">
      <c r="D36" s="746">
        <v>1</v>
      </c>
      <c r="E36" s="746"/>
      <c r="F36" s="746"/>
      <c r="G36" s="749"/>
      <c r="H36" s="667"/>
      <c r="I36" s="667"/>
      <c r="J36" s="64"/>
      <c r="L36" s="162">
        <f ca="1">OFFSET(Cost_Ingredients!$N$103,D36,0)*J36</f>
        <v>0</v>
      </c>
      <c r="M36" s="162">
        <f ca="1">OFFSET(Cost_Ingredients!$O$103,D36,0)*J36</f>
        <v>0</v>
      </c>
      <c r="N36" s="163">
        <f ca="1">L36/Cost_Ingredients!$J$21</f>
        <v>0</v>
      </c>
      <c r="O36" s="163">
        <f ca="1">M36/Cost_Ingredients!$J$21</f>
        <v>0</v>
      </c>
      <c r="P36" s="151"/>
    </row>
    <row r="37" spans="4:16" s="23" customFormat="1" outlineLevel="1">
      <c r="D37" s="746">
        <v>1</v>
      </c>
      <c r="E37" s="746"/>
      <c r="F37" s="746"/>
      <c r="G37" s="749"/>
      <c r="H37" s="667"/>
      <c r="I37" s="667"/>
      <c r="J37" s="64"/>
      <c r="L37" s="162">
        <f ca="1">OFFSET(Cost_Ingredients!$N$103,D37,0)*J37</f>
        <v>0</v>
      </c>
      <c r="M37" s="162">
        <f ca="1">OFFSET(Cost_Ingredients!$O$103,D37,0)*J37</f>
        <v>0</v>
      </c>
      <c r="N37" s="163">
        <f ca="1">L37/Cost_Ingredients!$J$21</f>
        <v>0</v>
      </c>
      <c r="O37" s="163">
        <f ca="1">M37/Cost_Ingredients!$J$21</f>
        <v>0</v>
      </c>
      <c r="P37" s="151"/>
    </row>
    <row r="38" spans="4:16" s="23" customFormat="1" outlineLevel="1">
      <c r="D38" s="746">
        <v>1</v>
      </c>
      <c r="E38" s="746"/>
      <c r="F38" s="746"/>
      <c r="G38" s="749"/>
      <c r="H38" s="667"/>
      <c r="I38" s="667"/>
      <c r="J38" s="64"/>
      <c r="L38" s="162">
        <f ca="1">OFFSET(Cost_Ingredients!$N$103,D38,0)*J38</f>
        <v>0</v>
      </c>
      <c r="M38" s="162">
        <f ca="1">OFFSET(Cost_Ingredients!$O$103,D38,0)*J38</f>
        <v>0</v>
      </c>
      <c r="N38" s="163">
        <f ca="1">L38/Cost_Ingredients!$J$21</f>
        <v>0</v>
      </c>
      <c r="O38" s="163">
        <f ca="1">M38/Cost_Ingredients!$J$21</f>
        <v>0</v>
      </c>
      <c r="P38" s="151"/>
    </row>
    <row r="39" spans="4:16" s="23" customFormat="1" outlineLevel="1">
      <c r="D39" s="746">
        <v>1</v>
      </c>
      <c r="E39" s="746"/>
      <c r="F39" s="746"/>
      <c r="G39" s="749"/>
      <c r="H39" s="667"/>
      <c r="I39" s="667"/>
      <c r="J39" s="64"/>
      <c r="L39" s="162">
        <f ca="1">OFFSET(Cost_Ingredients!$N$103,D39,0)*J39</f>
        <v>0</v>
      </c>
      <c r="M39" s="162">
        <f ca="1">OFFSET(Cost_Ingredients!$O$103,D39,0)*J39</f>
        <v>0</v>
      </c>
      <c r="N39" s="163">
        <f ca="1">L39/Cost_Ingredients!$J$21</f>
        <v>0</v>
      </c>
      <c r="O39" s="163">
        <f ca="1">M39/Cost_Ingredients!$J$21</f>
        <v>0</v>
      </c>
      <c r="P39" s="151"/>
    </row>
    <row r="40" spans="4:16" s="23" customFormat="1" outlineLevel="1">
      <c r="D40" s="746">
        <v>1</v>
      </c>
      <c r="E40" s="746"/>
      <c r="F40" s="746"/>
      <c r="G40" s="749"/>
      <c r="H40" s="667"/>
      <c r="I40" s="667"/>
      <c r="J40" s="64"/>
      <c r="L40" s="162">
        <f ca="1">OFFSET(Cost_Ingredients!$N$103,D40,0)*J40</f>
        <v>0</v>
      </c>
      <c r="M40" s="162">
        <f ca="1">OFFSET(Cost_Ingredients!$O$103,D40,0)*J40</f>
        <v>0</v>
      </c>
      <c r="N40" s="163">
        <f ca="1">L40/Cost_Ingredients!$J$21</f>
        <v>0</v>
      </c>
      <c r="O40" s="163">
        <f ca="1">M40/Cost_Ingredients!$J$21</f>
        <v>0</v>
      </c>
      <c r="P40" s="151"/>
    </row>
    <row r="41" spans="4:16" s="23" customFormat="1" outlineLevel="1">
      <c r="D41" s="746">
        <v>1</v>
      </c>
      <c r="E41" s="746"/>
      <c r="F41" s="746"/>
      <c r="G41" s="749"/>
      <c r="H41" s="667"/>
      <c r="I41" s="667"/>
      <c r="J41" s="64"/>
      <c r="L41" s="162">
        <f ca="1">OFFSET(Cost_Ingredients!$N$103,D41,0)*J41</f>
        <v>0</v>
      </c>
      <c r="M41" s="162">
        <f ca="1">OFFSET(Cost_Ingredients!$O$103,D41,0)*J41</f>
        <v>0</v>
      </c>
      <c r="N41" s="163">
        <f ca="1">L41/Cost_Ingredients!$J$21</f>
        <v>0</v>
      </c>
      <c r="O41" s="163">
        <f ca="1">M41/Cost_Ingredients!$J$21</f>
        <v>0</v>
      </c>
      <c r="P41" s="151"/>
    </row>
    <row r="42" spans="4:16" s="23" customFormat="1" outlineLevel="1">
      <c r="D42" s="746">
        <v>1</v>
      </c>
      <c r="E42" s="746"/>
      <c r="F42" s="746"/>
      <c r="G42" s="749"/>
      <c r="H42" s="667"/>
      <c r="I42" s="667"/>
      <c r="J42" s="64"/>
      <c r="L42" s="162">
        <f ca="1">OFFSET(Cost_Ingredients!$N$103,D42,0)*J42</f>
        <v>0</v>
      </c>
      <c r="M42" s="162">
        <f ca="1">OFFSET(Cost_Ingredients!$O$103,D42,0)*J42</f>
        <v>0</v>
      </c>
      <c r="N42" s="163">
        <f ca="1">L42/Cost_Ingredients!$J$21</f>
        <v>0</v>
      </c>
      <c r="O42" s="163">
        <f ca="1">M42/Cost_Ingredients!$J$21</f>
        <v>0</v>
      </c>
      <c r="P42" s="151"/>
    </row>
    <row r="43" spans="4:16" s="23" customFormat="1" outlineLevel="1">
      <c r="D43" s="746">
        <v>1</v>
      </c>
      <c r="E43" s="746"/>
      <c r="F43" s="746"/>
      <c r="G43" s="749"/>
      <c r="H43" s="667"/>
      <c r="I43" s="667"/>
      <c r="J43" s="64"/>
      <c r="L43" s="162">
        <f ca="1">OFFSET(Cost_Ingredients!$N$103,D43,0)*J43</f>
        <v>0</v>
      </c>
      <c r="M43" s="162">
        <f ca="1">OFFSET(Cost_Ingredients!$O$103,D43,0)*J43</f>
        <v>0</v>
      </c>
      <c r="N43" s="163">
        <f ca="1">L43/Cost_Ingredients!$J$21</f>
        <v>0</v>
      </c>
      <c r="O43" s="163">
        <f ca="1">M43/Cost_Ingredients!$J$21</f>
        <v>0</v>
      </c>
      <c r="P43" s="151"/>
    </row>
    <row r="44" spans="4:16" s="23" customFormat="1" outlineLevel="1">
      <c r="D44" s="746">
        <v>1</v>
      </c>
      <c r="E44" s="746"/>
      <c r="F44" s="746"/>
      <c r="G44" s="749"/>
      <c r="H44" s="667"/>
      <c r="I44" s="667"/>
      <c r="J44" s="64"/>
      <c r="L44" s="162">
        <f ca="1">OFFSET(Cost_Ingredients!$N$103,D44,0)*J44</f>
        <v>0</v>
      </c>
      <c r="M44" s="162">
        <f ca="1">OFFSET(Cost_Ingredients!$O$103,D44,0)*J44</f>
        <v>0</v>
      </c>
      <c r="N44" s="163">
        <f ca="1">L44/Cost_Ingredients!$J$21</f>
        <v>0</v>
      </c>
      <c r="O44" s="163">
        <f ca="1">M44/Cost_Ingredients!$J$21</f>
        <v>0</v>
      </c>
      <c r="P44" s="151"/>
    </row>
    <row r="45" spans="4:16" s="23" customFormat="1" outlineLevel="1">
      <c r="D45" s="746">
        <v>1</v>
      </c>
      <c r="E45" s="746"/>
      <c r="F45" s="746"/>
      <c r="G45" s="749"/>
      <c r="H45" s="667"/>
      <c r="I45" s="667"/>
      <c r="J45" s="64"/>
      <c r="L45" s="162">
        <f ca="1">OFFSET(Cost_Ingredients!$N$103,D45,0)*J45</f>
        <v>0</v>
      </c>
      <c r="M45" s="162">
        <f ca="1">OFFSET(Cost_Ingredients!$O$103,D45,0)*J45</f>
        <v>0</v>
      </c>
      <c r="N45" s="163">
        <f ca="1">L45/Cost_Ingredients!$J$21</f>
        <v>0</v>
      </c>
      <c r="O45" s="163">
        <f ca="1">M45/Cost_Ingredients!$J$21</f>
        <v>0</v>
      </c>
      <c r="P45" s="151"/>
    </row>
    <row r="46" spans="4:16" s="23" customFormat="1" outlineLevel="1">
      <c r="D46" s="746">
        <v>1</v>
      </c>
      <c r="E46" s="746"/>
      <c r="F46" s="746"/>
      <c r="G46" s="749"/>
      <c r="H46" s="667"/>
      <c r="I46" s="667"/>
      <c r="J46" s="64"/>
      <c r="L46" s="162">
        <f ca="1">OFFSET(Cost_Ingredients!$N$103,D46,0)*J46</f>
        <v>0</v>
      </c>
      <c r="M46" s="162">
        <f ca="1">OFFSET(Cost_Ingredients!$O$103,D46,0)*J46</f>
        <v>0</v>
      </c>
      <c r="N46" s="163">
        <f ca="1">L46/Cost_Ingredients!$J$21</f>
        <v>0</v>
      </c>
      <c r="O46" s="163">
        <f ca="1">M46/Cost_Ingredients!$J$21</f>
        <v>0</v>
      </c>
      <c r="P46" s="151"/>
    </row>
    <row r="47" spans="4:16" s="23" customFormat="1" outlineLevel="1">
      <c r="D47" s="746">
        <v>1</v>
      </c>
      <c r="E47" s="746"/>
      <c r="F47" s="746"/>
      <c r="G47" s="749"/>
      <c r="H47" s="745"/>
      <c r="I47" s="745"/>
      <c r="J47" s="173">
        <v>0</v>
      </c>
      <c r="L47" s="162">
        <f ca="1">OFFSET(Cost_Ingredients!$N$103,D47,0)*J47</f>
        <v>0</v>
      </c>
      <c r="M47" s="162">
        <f ca="1">OFFSET(Cost_Ingredients!$O$103,D47,0)*J47</f>
        <v>0</v>
      </c>
      <c r="N47" s="163">
        <f ca="1">L47/Cost_Ingredients!$J$21</f>
        <v>0</v>
      </c>
      <c r="O47" s="163">
        <f ca="1">M47/Cost_Ingredients!$J$21</f>
        <v>0</v>
      </c>
      <c r="P47" s="172"/>
    </row>
    <row r="48" spans="4:16" s="23" customFormat="1">
      <c r="D48" s="754" t="str">
        <f>"Subtotal - "&amp;C31</f>
        <v>Subtotal - Allowances</v>
      </c>
      <c r="E48" s="754"/>
      <c r="F48" s="754"/>
      <c r="G48" s="754"/>
      <c r="H48" s="156"/>
      <c r="I48" s="156"/>
      <c r="J48" s="69"/>
      <c r="L48" s="255">
        <f ca="1">SUM(L33:L47)</f>
        <v>0</v>
      </c>
      <c r="M48" s="255">
        <f ca="1">SUM(M33:M47)</f>
        <v>0</v>
      </c>
      <c r="N48" s="258">
        <f ca="1">SUM(N33:N47)</f>
        <v>0</v>
      </c>
      <c r="O48" s="258">
        <f ca="1">SUM(O33:O47)</f>
        <v>0</v>
      </c>
      <c r="P48" s="156"/>
    </row>
    <row r="50" spans="3:16">
      <c r="C50" s="153" t="str">
        <f>FLU_LU!$D$280</f>
        <v>Supplies &amp; Materials</v>
      </c>
    </row>
    <row r="51" spans="3:16" ht="28.8" outlineLevel="1">
      <c r="D51" s="733" t="s">
        <v>100</v>
      </c>
      <c r="E51" s="733"/>
      <c r="F51" s="733"/>
      <c r="G51" s="733"/>
      <c r="H51" s="142" t="s">
        <v>274</v>
      </c>
      <c r="I51" s="72" t="s">
        <v>275</v>
      </c>
      <c r="J51" s="152" t="s">
        <v>67</v>
      </c>
      <c r="L51" s="28" t="str">
        <f>"Financial Price ("&amp;FLU_LU!$D$79&amp;")"</f>
        <v>Financial Price (GOZ)</v>
      </c>
      <c r="M51" s="28" t="str">
        <f>"Economic Price ("&amp;FLU_LU!$D$79&amp;")"</f>
        <v>Economic Price (GOZ)</v>
      </c>
      <c r="N51" s="28" t="str">
        <f>"Financial Price ("&amp;FLU_LU!$D$78&amp;")"</f>
        <v>Financial Price (USD)</v>
      </c>
      <c r="O51" s="28" t="str">
        <f>"Economic Price ("&amp;FLU_LU!$D$78&amp;")"</f>
        <v>Economic Price (USD)</v>
      </c>
      <c r="P51" s="152" t="s">
        <v>68</v>
      </c>
    </row>
    <row r="52" spans="3:16" s="23" customFormat="1" outlineLevel="1">
      <c r="D52" s="746">
        <v>8</v>
      </c>
      <c r="E52" s="746"/>
      <c r="F52" s="746"/>
      <c r="G52" s="749"/>
      <c r="H52" s="151" t="s">
        <v>686</v>
      </c>
      <c r="I52" s="159" t="str">
        <f ca="1">OFFSET(Cost_Ingredients!$M$117,D52,0)</f>
        <v>1 entry</v>
      </c>
      <c r="J52" s="64">
        <v>1</v>
      </c>
      <c r="L52" s="162">
        <f ca="1">OFFSET(Cost_Ingredients!$N$117,D52,0)*J52</f>
        <v>0</v>
      </c>
      <c r="M52" s="162">
        <f ca="1">OFFSET(Cost_Ingredients!$O$117,D52,0)*J52</f>
        <v>12</v>
      </c>
      <c r="N52" s="163">
        <f ca="1">L52/Cost_Ingredients!$J$21</f>
        <v>0</v>
      </c>
      <c r="O52" s="163">
        <f ca="1">M52/Cost_Ingredients!$J$21</f>
        <v>0.08</v>
      </c>
      <c r="P52" s="151" t="s">
        <v>495</v>
      </c>
    </row>
    <row r="53" spans="3:16" s="23" customFormat="1" outlineLevel="1">
      <c r="D53" s="746">
        <v>1</v>
      </c>
      <c r="E53" s="746"/>
      <c r="F53" s="746"/>
      <c r="G53" s="749"/>
      <c r="H53" s="151"/>
      <c r="I53" s="159">
        <f ca="1">OFFSET(Cost_Ingredients!$M$117,D53,0)</f>
        <v>0</v>
      </c>
      <c r="J53" s="64"/>
      <c r="L53" s="162">
        <f ca="1">OFFSET(Cost_Ingredients!$N$117,D53,0)*J53</f>
        <v>0</v>
      </c>
      <c r="M53" s="162">
        <f ca="1">OFFSET(Cost_Ingredients!$O$117,D53,0)*J53</f>
        <v>0</v>
      </c>
      <c r="N53" s="163">
        <f ca="1">L53/Cost_Ingredients!$J$21</f>
        <v>0</v>
      </c>
      <c r="O53" s="163">
        <f ca="1">M53/Cost_Ingredients!$J$21</f>
        <v>0</v>
      </c>
      <c r="P53" s="151"/>
    </row>
    <row r="54" spans="3:16" s="23" customFormat="1" outlineLevel="1">
      <c r="D54" s="746">
        <v>1</v>
      </c>
      <c r="E54" s="746"/>
      <c r="F54" s="746"/>
      <c r="G54" s="749"/>
      <c r="H54" s="151"/>
      <c r="I54" s="159">
        <f ca="1">OFFSET(Cost_Ingredients!$M$117,D54,0)</f>
        <v>0</v>
      </c>
      <c r="J54" s="64"/>
      <c r="L54" s="162">
        <f ca="1">OFFSET(Cost_Ingredients!$N$117,D54,0)*J54</f>
        <v>0</v>
      </c>
      <c r="M54" s="162">
        <f ca="1">OFFSET(Cost_Ingredients!$O$117,D54,0)*J54</f>
        <v>0</v>
      </c>
      <c r="N54" s="163">
        <f ca="1">L54/Cost_Ingredients!$J$21</f>
        <v>0</v>
      </c>
      <c r="O54" s="163">
        <f ca="1">M54/Cost_Ingredients!$J$21</f>
        <v>0</v>
      </c>
      <c r="P54" s="151"/>
    </row>
    <row r="55" spans="3:16" s="23" customFormat="1" outlineLevel="1">
      <c r="D55" s="746">
        <v>1</v>
      </c>
      <c r="E55" s="746"/>
      <c r="F55" s="746"/>
      <c r="G55" s="749"/>
      <c r="H55" s="151"/>
      <c r="I55" s="159">
        <f ca="1">OFFSET(Cost_Ingredients!$M$117,D55,0)</f>
        <v>0</v>
      </c>
      <c r="J55" s="64"/>
      <c r="L55" s="162">
        <f ca="1">OFFSET(Cost_Ingredients!$N$117,D55,0)*J55</f>
        <v>0</v>
      </c>
      <c r="M55" s="162">
        <f ca="1">OFFSET(Cost_Ingredients!$O$117,D55,0)*J55</f>
        <v>0</v>
      </c>
      <c r="N55" s="163">
        <f ca="1">L55/Cost_Ingredients!$J$21</f>
        <v>0</v>
      </c>
      <c r="O55" s="163">
        <f ca="1">M55/Cost_Ingredients!$J$21</f>
        <v>0</v>
      </c>
      <c r="P55" s="151"/>
    </row>
    <row r="56" spans="3:16" s="23" customFormat="1" outlineLevel="1">
      <c r="D56" s="746">
        <v>1</v>
      </c>
      <c r="E56" s="746"/>
      <c r="F56" s="746"/>
      <c r="G56" s="749"/>
      <c r="H56" s="151"/>
      <c r="I56" s="159">
        <f ca="1">OFFSET(Cost_Ingredients!$M$117,D56,0)</f>
        <v>0</v>
      </c>
      <c r="J56" s="64"/>
      <c r="L56" s="162">
        <f ca="1">OFFSET(Cost_Ingredients!$N$117,D56,0)*J56</f>
        <v>0</v>
      </c>
      <c r="M56" s="162">
        <f ca="1">OFFSET(Cost_Ingredients!$O$117,D56,0)*J56</f>
        <v>0</v>
      </c>
      <c r="N56" s="163">
        <f ca="1">L56/Cost_Ingredients!$J$21</f>
        <v>0</v>
      </c>
      <c r="O56" s="163">
        <f ca="1">M56/Cost_Ingredients!$J$21</f>
        <v>0</v>
      </c>
      <c r="P56" s="151"/>
    </row>
    <row r="57" spans="3:16" s="23" customFormat="1" outlineLevel="1">
      <c r="D57" s="746">
        <v>1</v>
      </c>
      <c r="E57" s="746"/>
      <c r="F57" s="746"/>
      <c r="G57" s="749"/>
      <c r="H57" s="151"/>
      <c r="I57" s="159">
        <f ca="1">OFFSET(Cost_Ingredients!$M$117,D57,0)</f>
        <v>0</v>
      </c>
      <c r="J57" s="64">
        <v>0</v>
      </c>
      <c r="L57" s="162">
        <f ca="1">OFFSET(Cost_Ingredients!$N$117,D57,0)*J57</f>
        <v>0</v>
      </c>
      <c r="M57" s="162">
        <f ca="1">OFFSET(Cost_Ingredients!$O$117,D57,0)*J57</f>
        <v>0</v>
      </c>
      <c r="N57" s="163">
        <f ca="1">L57/Cost_Ingredients!$J$21</f>
        <v>0</v>
      </c>
      <c r="O57" s="163">
        <f ca="1">M57/Cost_Ingredients!$J$21</f>
        <v>0</v>
      </c>
      <c r="P57" s="151"/>
    </row>
    <row r="58" spans="3:16" s="23" customFormat="1" outlineLevel="1">
      <c r="D58" s="746">
        <v>1</v>
      </c>
      <c r="E58" s="746"/>
      <c r="F58" s="746"/>
      <c r="G58" s="749"/>
      <c r="H58" s="151"/>
      <c r="I58" s="159">
        <f ca="1">OFFSET(Cost_Ingredients!$M$117,D58,0)</f>
        <v>0</v>
      </c>
      <c r="J58" s="64">
        <v>0</v>
      </c>
      <c r="L58" s="162">
        <f ca="1">OFFSET(Cost_Ingredients!$N$117,D58,0)*J58</f>
        <v>0</v>
      </c>
      <c r="M58" s="162">
        <f ca="1">OFFSET(Cost_Ingredients!$O$117,D58,0)*J58</f>
        <v>0</v>
      </c>
      <c r="N58" s="163">
        <f ca="1">L58/Cost_Ingredients!$J$21</f>
        <v>0</v>
      </c>
      <c r="O58" s="163">
        <f ca="1">M58/Cost_Ingredients!$J$21</f>
        <v>0</v>
      </c>
      <c r="P58" s="151"/>
    </row>
    <row r="59" spans="3:16" s="23" customFormat="1" outlineLevel="1">
      <c r="D59" s="746">
        <v>1</v>
      </c>
      <c r="E59" s="746"/>
      <c r="F59" s="746"/>
      <c r="G59" s="749"/>
      <c r="H59" s="151"/>
      <c r="I59" s="159">
        <f ca="1">OFFSET(Cost_Ingredients!$M$117,D59,0)</f>
        <v>0</v>
      </c>
      <c r="J59" s="64">
        <v>0</v>
      </c>
      <c r="L59" s="162">
        <f ca="1">OFFSET(Cost_Ingredients!$N$117,D59,0)*J59</f>
        <v>0</v>
      </c>
      <c r="M59" s="162">
        <f ca="1">OFFSET(Cost_Ingredients!$O$117,D59,0)*J59</f>
        <v>0</v>
      </c>
      <c r="N59" s="163">
        <f ca="1">L59/Cost_Ingredients!$J$21</f>
        <v>0</v>
      </c>
      <c r="O59" s="163">
        <f ca="1">M59/Cost_Ingredients!$J$21</f>
        <v>0</v>
      </c>
      <c r="P59" s="151"/>
    </row>
    <row r="60" spans="3:16" s="23" customFormat="1" outlineLevel="1">
      <c r="D60" s="746">
        <v>1</v>
      </c>
      <c r="E60" s="746"/>
      <c r="F60" s="746"/>
      <c r="G60" s="749"/>
      <c r="H60" s="151"/>
      <c r="I60" s="159">
        <f ca="1">OFFSET(Cost_Ingredients!$M$117,D60,0)</f>
        <v>0</v>
      </c>
      <c r="J60" s="64">
        <v>0</v>
      </c>
      <c r="L60" s="162">
        <f ca="1">OFFSET(Cost_Ingredients!$N$117,D60,0)*J60</f>
        <v>0</v>
      </c>
      <c r="M60" s="162">
        <f ca="1">OFFSET(Cost_Ingredients!$O$117,D60,0)*J60</f>
        <v>0</v>
      </c>
      <c r="N60" s="163">
        <f ca="1">L60/Cost_Ingredients!$J$21</f>
        <v>0</v>
      </c>
      <c r="O60" s="163">
        <f ca="1">M60/Cost_Ingredients!$J$21</f>
        <v>0</v>
      </c>
      <c r="P60" s="151"/>
    </row>
    <row r="61" spans="3:16" s="23" customFormat="1" outlineLevel="1">
      <c r="D61" s="746">
        <v>1</v>
      </c>
      <c r="E61" s="746"/>
      <c r="F61" s="746"/>
      <c r="G61" s="749"/>
      <c r="H61" s="151"/>
      <c r="I61" s="159">
        <f ca="1">OFFSET(Cost_Ingredients!$M$117,D61,0)</f>
        <v>0</v>
      </c>
      <c r="J61" s="64">
        <v>0</v>
      </c>
      <c r="L61" s="162">
        <f ca="1">OFFSET(Cost_Ingredients!$N$117,D61,0)*J61</f>
        <v>0</v>
      </c>
      <c r="M61" s="162">
        <f ca="1">OFFSET(Cost_Ingredients!$O$117,D61,0)*J61</f>
        <v>0</v>
      </c>
      <c r="N61" s="163">
        <f ca="1">L61/Cost_Ingredients!$J$21</f>
        <v>0</v>
      </c>
      <c r="O61" s="163">
        <f ca="1">M61/Cost_Ingredients!$J$21</f>
        <v>0</v>
      </c>
      <c r="P61" s="151"/>
    </row>
    <row r="62" spans="3:16" s="23" customFormat="1" outlineLevel="1">
      <c r="D62" s="746">
        <v>1</v>
      </c>
      <c r="E62" s="746"/>
      <c r="F62" s="746"/>
      <c r="G62" s="749"/>
      <c r="H62" s="151"/>
      <c r="I62" s="159">
        <f ca="1">OFFSET(Cost_Ingredients!$M$117,D62,0)</f>
        <v>0</v>
      </c>
      <c r="J62" s="64">
        <v>0</v>
      </c>
      <c r="L62" s="162">
        <f ca="1">OFFSET(Cost_Ingredients!$N$117,D62,0)*J62</f>
        <v>0</v>
      </c>
      <c r="M62" s="162">
        <f ca="1">OFFSET(Cost_Ingredients!$O$117,D62,0)*J62</f>
        <v>0</v>
      </c>
      <c r="N62" s="163">
        <f ca="1">L62/Cost_Ingredients!$J$21</f>
        <v>0</v>
      </c>
      <c r="O62" s="163">
        <f ca="1">M62/Cost_Ingredients!$J$21</f>
        <v>0</v>
      </c>
      <c r="P62" s="151"/>
    </row>
    <row r="63" spans="3:16" s="23" customFormat="1" outlineLevel="1">
      <c r="D63" s="746">
        <v>1</v>
      </c>
      <c r="E63" s="746"/>
      <c r="F63" s="746"/>
      <c r="G63" s="749"/>
      <c r="H63" s="151"/>
      <c r="I63" s="159">
        <f ca="1">OFFSET(Cost_Ingredients!$M$117,D63,0)</f>
        <v>0</v>
      </c>
      <c r="J63" s="64">
        <v>0</v>
      </c>
      <c r="L63" s="162">
        <f ca="1">OFFSET(Cost_Ingredients!$N$117,D63,0)*J63</f>
        <v>0</v>
      </c>
      <c r="M63" s="162">
        <f ca="1">OFFSET(Cost_Ingredients!$O$117,D63,0)*J63</f>
        <v>0</v>
      </c>
      <c r="N63" s="163">
        <f ca="1">L63/Cost_Ingredients!$J$21</f>
        <v>0</v>
      </c>
      <c r="O63" s="163">
        <f ca="1">M63/Cost_Ingredients!$J$21</f>
        <v>0</v>
      </c>
      <c r="P63" s="151"/>
    </row>
    <row r="64" spans="3:16" s="23" customFormat="1" outlineLevel="1">
      <c r="D64" s="746">
        <v>1</v>
      </c>
      <c r="E64" s="746"/>
      <c r="F64" s="746"/>
      <c r="G64" s="749"/>
      <c r="H64" s="151"/>
      <c r="I64" s="159">
        <f ca="1">OFFSET(Cost_Ingredients!$M$117,D64,0)</f>
        <v>0</v>
      </c>
      <c r="J64" s="64">
        <v>0</v>
      </c>
      <c r="L64" s="162">
        <f ca="1">OFFSET(Cost_Ingredients!$N$117,D64,0)*J64</f>
        <v>0</v>
      </c>
      <c r="M64" s="162">
        <f ca="1">OFFSET(Cost_Ingredients!$O$117,D64,0)*J64</f>
        <v>0</v>
      </c>
      <c r="N64" s="163">
        <f ca="1">L64/Cost_Ingredients!$J$21</f>
        <v>0</v>
      </c>
      <c r="O64" s="163">
        <f ca="1">M64/Cost_Ingredients!$J$21</f>
        <v>0</v>
      </c>
      <c r="P64" s="151"/>
    </row>
    <row r="65" spans="3:16" s="23" customFormat="1" outlineLevel="1">
      <c r="D65" s="746">
        <v>1</v>
      </c>
      <c r="E65" s="746"/>
      <c r="F65" s="746"/>
      <c r="G65" s="749"/>
      <c r="H65" s="151"/>
      <c r="I65" s="159">
        <f ca="1">OFFSET(Cost_Ingredients!$M$117,D65,0)</f>
        <v>0</v>
      </c>
      <c r="J65" s="64">
        <v>0</v>
      </c>
      <c r="L65" s="162">
        <f ca="1">OFFSET(Cost_Ingredients!$N$117,D65,0)*J65</f>
        <v>0</v>
      </c>
      <c r="M65" s="162">
        <f ca="1">OFFSET(Cost_Ingredients!$O$117,D65,0)*J65</f>
        <v>0</v>
      </c>
      <c r="N65" s="163">
        <f ca="1">L65/Cost_Ingredients!$J$21</f>
        <v>0</v>
      </c>
      <c r="O65" s="163">
        <f ca="1">M65/Cost_Ingredients!$J$21</f>
        <v>0</v>
      </c>
      <c r="P65" s="151"/>
    </row>
    <row r="66" spans="3:16" s="23" customFormat="1" outlineLevel="1">
      <c r="D66" s="746">
        <v>1</v>
      </c>
      <c r="E66" s="746"/>
      <c r="F66" s="746"/>
      <c r="G66" s="749"/>
      <c r="H66" s="172"/>
      <c r="I66" s="159">
        <f ca="1">OFFSET(Cost_Ingredients!$M$117,D66,0)</f>
        <v>0</v>
      </c>
      <c r="J66" s="173">
        <v>0</v>
      </c>
      <c r="L66" s="162">
        <f ca="1">OFFSET(Cost_Ingredients!$N$117,D66,0)*J66</f>
        <v>0</v>
      </c>
      <c r="M66" s="162">
        <f ca="1">OFFSET(Cost_Ingredients!$O$117,D66,0)*J66</f>
        <v>0</v>
      </c>
      <c r="N66" s="163">
        <f ca="1">L66/Cost_Ingredients!$J$21</f>
        <v>0</v>
      </c>
      <c r="O66" s="163">
        <f ca="1">M66/Cost_Ingredients!$J$21</f>
        <v>0</v>
      </c>
      <c r="P66" s="172"/>
    </row>
    <row r="67" spans="3:16" s="23" customFormat="1">
      <c r="D67" s="754" t="str">
        <f>"Subtotal - "&amp;C50</f>
        <v>Subtotal - Supplies &amp; Materials</v>
      </c>
      <c r="E67" s="754"/>
      <c r="F67" s="754"/>
      <c r="G67" s="754"/>
      <c r="H67" s="156"/>
      <c r="I67" s="156"/>
      <c r="J67" s="69"/>
      <c r="L67" s="255">
        <f ca="1">SUM(L52:L66)</f>
        <v>0</v>
      </c>
      <c r="M67" s="255">
        <f ca="1">SUM(M52:M66)</f>
        <v>12</v>
      </c>
      <c r="N67" s="258">
        <f ca="1">SUM(N52:N66)</f>
        <v>0</v>
      </c>
      <c r="O67" s="258">
        <f ca="1">SUM(O52:O66)</f>
        <v>0.08</v>
      </c>
      <c r="P67" s="156"/>
    </row>
    <row r="69" spans="3:16">
      <c r="C69" s="153" t="str">
        <f>FLU_LU!$D$281</f>
        <v>Other Direct Costs (Recurrent)</v>
      </c>
    </row>
    <row r="70" spans="3:16" ht="28.8" outlineLevel="1">
      <c r="D70" s="733" t="s">
        <v>100</v>
      </c>
      <c r="E70" s="733"/>
      <c r="F70" s="733"/>
      <c r="G70" s="733"/>
      <c r="H70" s="142" t="s">
        <v>274</v>
      </c>
      <c r="I70" s="72" t="s">
        <v>275</v>
      </c>
      <c r="J70" s="152" t="s">
        <v>67</v>
      </c>
      <c r="L70" s="28" t="str">
        <f>"Financial Price ("&amp;FLU_LU!$D$79&amp;")"</f>
        <v>Financial Price (GOZ)</v>
      </c>
      <c r="M70" s="28" t="str">
        <f>"Economic Price ("&amp;FLU_LU!$D$79&amp;")"</f>
        <v>Economic Price (GOZ)</v>
      </c>
      <c r="N70" s="28" t="str">
        <f>"Financial Price ("&amp;FLU_LU!$D$78&amp;")"</f>
        <v>Financial Price (USD)</v>
      </c>
      <c r="O70" s="28" t="str">
        <f>"Economic Price ("&amp;FLU_LU!$D$78&amp;")"</f>
        <v>Economic Price (USD)</v>
      </c>
      <c r="P70" s="152" t="s">
        <v>68</v>
      </c>
    </row>
    <row r="71" spans="3:16" s="23" customFormat="1" outlineLevel="1">
      <c r="D71" s="746">
        <v>1</v>
      </c>
      <c r="E71" s="746"/>
      <c r="F71" s="746"/>
      <c r="G71" s="749"/>
      <c r="H71" s="151"/>
      <c r="I71" s="159">
        <f ca="1">OFFSET(Cost_Ingredients!$M$146,D71,0)</f>
        <v>0</v>
      </c>
      <c r="J71" s="64"/>
      <c r="L71" s="162">
        <f ca="1">OFFSET(Cost_Ingredients!$N$146,D71,0)*J71</f>
        <v>0</v>
      </c>
      <c r="M71" s="162">
        <f ca="1">OFFSET(Cost_Ingredients!$O$146,D71,0)*J71</f>
        <v>0</v>
      </c>
      <c r="N71" s="163">
        <f ca="1">L71/Cost_Ingredients!$J$21</f>
        <v>0</v>
      </c>
      <c r="O71" s="163">
        <f ca="1">M71/Cost_Ingredients!$J$21</f>
        <v>0</v>
      </c>
      <c r="P71" s="151"/>
    </row>
    <row r="72" spans="3:16" s="23" customFormat="1" outlineLevel="1">
      <c r="D72" s="746">
        <v>1</v>
      </c>
      <c r="E72" s="746"/>
      <c r="F72" s="746"/>
      <c r="G72" s="749"/>
      <c r="H72" s="151"/>
      <c r="I72" s="159">
        <f ca="1">OFFSET(Cost_Ingredients!$M$146,D72,0)</f>
        <v>0</v>
      </c>
      <c r="J72" s="64">
        <v>0</v>
      </c>
      <c r="L72" s="162">
        <f ca="1">OFFSET(Cost_Ingredients!$N$146,D72,0)*J72</f>
        <v>0</v>
      </c>
      <c r="M72" s="162">
        <f ca="1">OFFSET(Cost_Ingredients!$O$146,D72,0)*J72</f>
        <v>0</v>
      </c>
      <c r="N72" s="163">
        <f ca="1">L72/Cost_Ingredients!$J$21</f>
        <v>0</v>
      </c>
      <c r="O72" s="163">
        <f ca="1">M72/Cost_Ingredients!$J$21</f>
        <v>0</v>
      </c>
      <c r="P72" s="151"/>
    </row>
    <row r="73" spans="3:16" s="23" customFormat="1" outlineLevel="1">
      <c r="D73" s="746">
        <v>1</v>
      </c>
      <c r="E73" s="746"/>
      <c r="F73" s="746"/>
      <c r="G73" s="749"/>
      <c r="H73" s="151"/>
      <c r="I73" s="159">
        <f ca="1">OFFSET(Cost_Ingredients!$M$146,D73,0)</f>
        <v>0</v>
      </c>
      <c r="J73" s="64">
        <v>0</v>
      </c>
      <c r="L73" s="162">
        <f ca="1">OFFSET(Cost_Ingredients!$N$146,D73,0)*J73</f>
        <v>0</v>
      </c>
      <c r="M73" s="162">
        <f ca="1">OFFSET(Cost_Ingredients!$O$146,D73,0)*J73</f>
        <v>0</v>
      </c>
      <c r="N73" s="163">
        <f ca="1">L73/Cost_Ingredients!$J$21</f>
        <v>0</v>
      </c>
      <c r="O73" s="163">
        <f ca="1">M73/Cost_Ingredients!$J$21</f>
        <v>0</v>
      </c>
      <c r="P73" s="151"/>
    </row>
    <row r="74" spans="3:16" s="23" customFormat="1" outlineLevel="1">
      <c r="D74" s="746">
        <v>1</v>
      </c>
      <c r="E74" s="746"/>
      <c r="F74" s="746"/>
      <c r="G74" s="749"/>
      <c r="H74" s="151"/>
      <c r="I74" s="159">
        <f ca="1">OFFSET(Cost_Ingredients!$M$146,D74,0)</f>
        <v>0</v>
      </c>
      <c r="J74" s="64">
        <v>0</v>
      </c>
      <c r="L74" s="162">
        <f ca="1">OFFSET(Cost_Ingredients!$N$146,D74,0)*J74</f>
        <v>0</v>
      </c>
      <c r="M74" s="162">
        <f ca="1">OFFSET(Cost_Ingredients!$O$146,D74,0)*J74</f>
        <v>0</v>
      </c>
      <c r="N74" s="163">
        <f ca="1">L74/Cost_Ingredients!$J$21</f>
        <v>0</v>
      </c>
      <c r="O74" s="163">
        <f ca="1">M74/Cost_Ingredients!$J$21</f>
        <v>0</v>
      </c>
      <c r="P74" s="151"/>
    </row>
    <row r="75" spans="3:16" s="23" customFormat="1" outlineLevel="1">
      <c r="D75" s="746">
        <v>1</v>
      </c>
      <c r="E75" s="746"/>
      <c r="F75" s="746"/>
      <c r="G75" s="749"/>
      <c r="H75" s="151"/>
      <c r="I75" s="159">
        <f ca="1">OFFSET(Cost_Ingredients!$M$146,D75,0)</f>
        <v>0</v>
      </c>
      <c r="J75" s="64">
        <v>0</v>
      </c>
      <c r="L75" s="162">
        <f ca="1">OFFSET(Cost_Ingredients!$N$146,D75,0)*J75</f>
        <v>0</v>
      </c>
      <c r="M75" s="162">
        <f ca="1">OFFSET(Cost_Ingredients!$O$146,D75,0)*J75</f>
        <v>0</v>
      </c>
      <c r="N75" s="163">
        <f ca="1">L75/Cost_Ingredients!$J$21</f>
        <v>0</v>
      </c>
      <c r="O75" s="163">
        <f ca="1">M75/Cost_Ingredients!$J$21</f>
        <v>0</v>
      </c>
      <c r="P75" s="151"/>
    </row>
    <row r="76" spans="3:16" s="23" customFormat="1" outlineLevel="1">
      <c r="D76" s="746">
        <v>1</v>
      </c>
      <c r="E76" s="746"/>
      <c r="F76" s="746"/>
      <c r="G76" s="749"/>
      <c r="H76" s="151"/>
      <c r="I76" s="159">
        <f ca="1">OFFSET(Cost_Ingredients!$M$146,D76,0)</f>
        <v>0</v>
      </c>
      <c r="J76" s="64">
        <v>0</v>
      </c>
      <c r="L76" s="162">
        <f ca="1">OFFSET(Cost_Ingredients!$N$146,D76,0)*J76</f>
        <v>0</v>
      </c>
      <c r="M76" s="162">
        <f ca="1">OFFSET(Cost_Ingredients!$O$146,D76,0)*J76</f>
        <v>0</v>
      </c>
      <c r="N76" s="163">
        <f ca="1">L76/Cost_Ingredients!$J$21</f>
        <v>0</v>
      </c>
      <c r="O76" s="163">
        <f ca="1">M76/Cost_Ingredients!$J$21</f>
        <v>0</v>
      </c>
      <c r="P76" s="151"/>
    </row>
    <row r="77" spans="3:16" s="23" customFormat="1" outlineLevel="1">
      <c r="D77" s="746">
        <v>1</v>
      </c>
      <c r="E77" s="746"/>
      <c r="F77" s="746"/>
      <c r="G77" s="749"/>
      <c r="H77" s="151"/>
      <c r="I77" s="159">
        <f ca="1">OFFSET(Cost_Ingredients!$M$146,D77,0)</f>
        <v>0</v>
      </c>
      <c r="J77" s="64">
        <v>0</v>
      </c>
      <c r="L77" s="162">
        <f ca="1">OFFSET(Cost_Ingredients!$N$146,D77,0)*J77</f>
        <v>0</v>
      </c>
      <c r="M77" s="162">
        <f ca="1">OFFSET(Cost_Ingredients!$O$146,D77,0)*J77</f>
        <v>0</v>
      </c>
      <c r="N77" s="163">
        <f ca="1">L77/Cost_Ingredients!$J$21</f>
        <v>0</v>
      </c>
      <c r="O77" s="163">
        <f ca="1">M77/Cost_Ingredients!$J$21</f>
        <v>0</v>
      </c>
      <c r="P77" s="151"/>
    </row>
    <row r="78" spans="3:16" s="23" customFormat="1" outlineLevel="1">
      <c r="D78" s="746">
        <v>1</v>
      </c>
      <c r="E78" s="746"/>
      <c r="F78" s="746"/>
      <c r="G78" s="749"/>
      <c r="H78" s="151"/>
      <c r="I78" s="159">
        <f ca="1">OFFSET(Cost_Ingredients!$M$146,D78,0)</f>
        <v>0</v>
      </c>
      <c r="J78" s="64">
        <v>0</v>
      </c>
      <c r="L78" s="162">
        <f ca="1">OFFSET(Cost_Ingredients!$N$146,D78,0)*J78</f>
        <v>0</v>
      </c>
      <c r="M78" s="162">
        <f ca="1">OFFSET(Cost_Ingredients!$O$146,D78,0)*J78</f>
        <v>0</v>
      </c>
      <c r="N78" s="163">
        <f ca="1">L78/Cost_Ingredients!$J$21</f>
        <v>0</v>
      </c>
      <c r="O78" s="163">
        <f ca="1">M78/Cost_Ingredients!$J$21</f>
        <v>0</v>
      </c>
      <c r="P78" s="151"/>
    </row>
    <row r="79" spans="3:16" s="23" customFormat="1" outlineLevel="1">
      <c r="D79" s="746">
        <v>1</v>
      </c>
      <c r="E79" s="746"/>
      <c r="F79" s="746"/>
      <c r="G79" s="749"/>
      <c r="H79" s="151"/>
      <c r="I79" s="159">
        <f ca="1">OFFSET(Cost_Ingredients!$M$146,D79,0)</f>
        <v>0</v>
      </c>
      <c r="J79" s="64">
        <v>0</v>
      </c>
      <c r="L79" s="162">
        <f ca="1">OFFSET(Cost_Ingredients!$N$146,D79,0)*J79</f>
        <v>0</v>
      </c>
      <c r="M79" s="162">
        <f ca="1">OFFSET(Cost_Ingredients!$O$146,D79,0)*J79</f>
        <v>0</v>
      </c>
      <c r="N79" s="163">
        <f ca="1">L79/Cost_Ingredients!$J$21</f>
        <v>0</v>
      </c>
      <c r="O79" s="163">
        <f ca="1">M79/Cost_Ingredients!$J$21</f>
        <v>0</v>
      </c>
      <c r="P79" s="151"/>
    </row>
    <row r="80" spans="3:16" s="23" customFormat="1" outlineLevel="1">
      <c r="D80" s="746">
        <v>1</v>
      </c>
      <c r="E80" s="746"/>
      <c r="F80" s="746"/>
      <c r="G80" s="749"/>
      <c r="H80" s="151"/>
      <c r="I80" s="159">
        <f ca="1">OFFSET(Cost_Ingredients!$M$146,D80,0)</f>
        <v>0</v>
      </c>
      <c r="J80" s="64">
        <v>0</v>
      </c>
      <c r="L80" s="162">
        <f ca="1">OFFSET(Cost_Ingredients!$N$146,D80,0)*J80</f>
        <v>0</v>
      </c>
      <c r="M80" s="162">
        <f ca="1">OFFSET(Cost_Ingredients!$O$146,D80,0)*J80</f>
        <v>0</v>
      </c>
      <c r="N80" s="163">
        <f ca="1">L80/Cost_Ingredients!$J$21</f>
        <v>0</v>
      </c>
      <c r="O80" s="163">
        <f ca="1">M80/Cost_Ingredients!$J$21</f>
        <v>0</v>
      </c>
      <c r="P80" s="151"/>
    </row>
    <row r="81" spans="3:16" s="23" customFormat="1" outlineLevel="1">
      <c r="D81" s="746">
        <v>1</v>
      </c>
      <c r="E81" s="746"/>
      <c r="F81" s="746"/>
      <c r="G81" s="749"/>
      <c r="H81" s="151"/>
      <c r="I81" s="159">
        <f ca="1">OFFSET(Cost_Ingredients!$M$146,D81,0)</f>
        <v>0</v>
      </c>
      <c r="J81" s="64">
        <v>0</v>
      </c>
      <c r="L81" s="162">
        <f ca="1">OFFSET(Cost_Ingredients!$N$146,D81,0)*J81</f>
        <v>0</v>
      </c>
      <c r="M81" s="162">
        <f ca="1">OFFSET(Cost_Ingredients!$O$146,D81,0)*J81</f>
        <v>0</v>
      </c>
      <c r="N81" s="163">
        <f ca="1">L81/Cost_Ingredients!$J$21</f>
        <v>0</v>
      </c>
      <c r="O81" s="163">
        <f ca="1">M81/Cost_Ingredients!$J$21</f>
        <v>0</v>
      </c>
      <c r="P81" s="151"/>
    </row>
    <row r="82" spans="3:16" s="23" customFormat="1" outlineLevel="1">
      <c r="D82" s="746">
        <v>1</v>
      </c>
      <c r="E82" s="746"/>
      <c r="F82" s="746"/>
      <c r="G82" s="749"/>
      <c r="H82" s="151"/>
      <c r="I82" s="159">
        <f ca="1">OFFSET(Cost_Ingredients!$M$146,D82,0)</f>
        <v>0</v>
      </c>
      <c r="J82" s="64">
        <v>0</v>
      </c>
      <c r="L82" s="162">
        <f ca="1">OFFSET(Cost_Ingredients!$N$146,D82,0)*J82</f>
        <v>0</v>
      </c>
      <c r="M82" s="162">
        <f ca="1">OFFSET(Cost_Ingredients!$O$146,D82,0)*J82</f>
        <v>0</v>
      </c>
      <c r="N82" s="163">
        <f ca="1">L82/Cost_Ingredients!$J$21</f>
        <v>0</v>
      </c>
      <c r="O82" s="163">
        <f ca="1">M82/Cost_Ingredients!$J$21</f>
        <v>0</v>
      </c>
      <c r="P82" s="151"/>
    </row>
    <row r="83" spans="3:16" s="23" customFormat="1" outlineLevel="1">
      <c r="D83" s="746">
        <v>1</v>
      </c>
      <c r="E83" s="746"/>
      <c r="F83" s="746"/>
      <c r="G83" s="749"/>
      <c r="H83" s="151"/>
      <c r="I83" s="159">
        <f ca="1">OFFSET(Cost_Ingredients!$M$146,D83,0)</f>
        <v>0</v>
      </c>
      <c r="J83" s="64">
        <v>0</v>
      </c>
      <c r="L83" s="162">
        <f ca="1">OFFSET(Cost_Ingredients!$N$146,D83,0)*J83</f>
        <v>0</v>
      </c>
      <c r="M83" s="162">
        <f ca="1">OFFSET(Cost_Ingredients!$O$146,D83,0)*J83</f>
        <v>0</v>
      </c>
      <c r="N83" s="163">
        <f ca="1">L83/Cost_Ingredients!$J$21</f>
        <v>0</v>
      </c>
      <c r="O83" s="163">
        <f ca="1">M83/Cost_Ingredients!$J$21</f>
        <v>0</v>
      </c>
      <c r="P83" s="151"/>
    </row>
    <row r="84" spans="3:16" s="23" customFormat="1" outlineLevel="1">
      <c r="D84" s="746">
        <v>1</v>
      </c>
      <c r="E84" s="746"/>
      <c r="F84" s="746"/>
      <c r="G84" s="749"/>
      <c r="H84" s="151"/>
      <c r="I84" s="159">
        <f ca="1">OFFSET(Cost_Ingredients!$M$146,D84,0)</f>
        <v>0</v>
      </c>
      <c r="J84" s="64">
        <v>0</v>
      </c>
      <c r="L84" s="162">
        <f ca="1">OFFSET(Cost_Ingredients!$N$146,D84,0)*J84</f>
        <v>0</v>
      </c>
      <c r="M84" s="162">
        <f ca="1">OFFSET(Cost_Ingredients!$O$146,D84,0)*J84</f>
        <v>0</v>
      </c>
      <c r="N84" s="163">
        <f ca="1">L84/Cost_Ingredients!$J$21</f>
        <v>0</v>
      </c>
      <c r="O84" s="163">
        <f ca="1">M84/Cost_Ingredients!$J$21</f>
        <v>0</v>
      </c>
      <c r="P84" s="151"/>
    </row>
    <row r="85" spans="3:16" s="23" customFormat="1" outlineLevel="1">
      <c r="D85" s="746">
        <v>1</v>
      </c>
      <c r="E85" s="746"/>
      <c r="F85" s="746"/>
      <c r="G85" s="749"/>
      <c r="H85" s="172"/>
      <c r="I85" s="159">
        <f ca="1">OFFSET(Cost_Ingredients!$M$146,D85,0)</f>
        <v>0</v>
      </c>
      <c r="J85" s="173">
        <v>0</v>
      </c>
      <c r="L85" s="162">
        <f ca="1">OFFSET(Cost_Ingredients!$N$146,D85,0)*J85</f>
        <v>0</v>
      </c>
      <c r="M85" s="162">
        <f ca="1">OFFSET(Cost_Ingredients!$O$146,D85,0)*J85</f>
        <v>0</v>
      </c>
      <c r="N85" s="163">
        <f ca="1">L85/Cost_Ingredients!$J$21</f>
        <v>0</v>
      </c>
      <c r="O85" s="163">
        <f ca="1">M85/Cost_Ingredients!$J$21</f>
        <v>0</v>
      </c>
      <c r="P85" s="172"/>
    </row>
    <row r="86" spans="3:16" s="23" customFormat="1">
      <c r="D86" s="754" t="str">
        <f>"Subtotal - "&amp;C69</f>
        <v>Subtotal - Other Direct Costs (Recurrent)</v>
      </c>
      <c r="E86" s="754"/>
      <c r="F86" s="754"/>
      <c r="G86" s="754"/>
      <c r="H86" s="156"/>
      <c r="I86" s="156"/>
      <c r="J86" s="69"/>
      <c r="L86" s="255">
        <f ca="1">SUM(L71:L85)</f>
        <v>0</v>
      </c>
      <c r="M86" s="255">
        <f ca="1">SUM(M71:M85)</f>
        <v>0</v>
      </c>
      <c r="N86" s="258">
        <f ca="1">SUM(N71:N85)</f>
        <v>0</v>
      </c>
      <c r="O86" s="258">
        <f ca="1">SUM(O71:O85)</f>
        <v>0</v>
      </c>
      <c r="P86" s="156"/>
    </row>
    <row r="88" spans="3:16" ht="15" thickBot="1">
      <c r="C88" s="70" t="str">
        <f>C9&amp;" -Cost per Activity"</f>
        <v>Detailed Cost Estimate: Routine Immunization by a Facility Nurse -Cost per Activity</v>
      </c>
      <c r="L88" s="44">
        <f ca="1">SUM(L29,L48,L67,L86)</f>
        <v>0</v>
      </c>
      <c r="M88" s="44">
        <f ca="1">SUM(M29,M48,M67,M86)</f>
        <v>41.83806818181818</v>
      </c>
      <c r="N88" s="147">
        <f ca="1">SUM(N29,N48,N67,N86)</f>
        <v>0</v>
      </c>
      <c r="O88" s="147">
        <f ca="1">SUM(O29,O48,O67,O86)</f>
        <v>0.27892045454545455</v>
      </c>
    </row>
    <row r="89" spans="3:16" ht="15" thickTop="1">
      <c r="C89" s="20"/>
      <c r="D89" s="20"/>
      <c r="E89" s="20"/>
      <c r="F89" s="20"/>
      <c r="G89" s="20"/>
      <c r="H89" s="20"/>
      <c r="I89" s="20"/>
      <c r="J89" s="20"/>
      <c r="K89" s="20"/>
      <c r="L89" s="20"/>
      <c r="M89" s="20"/>
      <c r="N89" s="20"/>
      <c r="O89" s="20"/>
      <c r="P89" s="20"/>
    </row>
    <row r="90" spans="3:16" s="23" customFormat="1"/>
    <row r="91" spans="3:16" s="23" customFormat="1" ht="15.6">
      <c r="C91" s="171" t="str">
        <f>"Detailed Cost Estimate: "&amp;FLU_LU!$D$349</f>
        <v>Detailed Cost Estimate: Routine Immunization by an Home Visit Nurse</v>
      </c>
    </row>
    <row r="92" spans="3:16" s="23" customFormat="1"/>
    <row r="93" spans="3:16" s="23" customFormat="1">
      <c r="C93" s="160" t="str">
        <f>FLU_LU!$D$278</f>
        <v xml:space="preserve">Personnel </v>
      </c>
    </row>
    <row r="94" spans="3:16" s="23" customFormat="1" ht="43.2" outlineLevel="1">
      <c r="D94" s="733" t="s">
        <v>100</v>
      </c>
      <c r="E94" s="733"/>
      <c r="F94" s="733"/>
      <c r="G94" s="733"/>
      <c r="H94" s="142" t="s">
        <v>274</v>
      </c>
      <c r="I94" s="72" t="s">
        <v>474</v>
      </c>
      <c r="J94" s="152" t="s">
        <v>67</v>
      </c>
      <c r="K94" s="72" t="s">
        <v>475</v>
      </c>
      <c r="L94" s="28" t="str">
        <f>"Financial Price ("&amp;FLU_LU!$D$79&amp;")"</f>
        <v>Financial Price (GOZ)</v>
      </c>
      <c r="M94" s="28" t="str">
        <f>"Economic Price ("&amp;FLU_LU!$D$79&amp;")"</f>
        <v>Economic Price (GOZ)</v>
      </c>
      <c r="N94" s="28" t="str">
        <f>"Financial Price ("&amp;FLU_LU!$D$78&amp;")"</f>
        <v>Financial Price (USD)</v>
      </c>
      <c r="O94" s="28" t="str">
        <f>"Economic Price ("&amp;FLU_LU!$D$78&amp;")"</f>
        <v>Economic Price (USD)</v>
      </c>
      <c r="P94" s="152" t="s">
        <v>68</v>
      </c>
    </row>
    <row r="95" spans="3:16" s="23" customFormat="1" outlineLevel="1">
      <c r="D95" s="746">
        <v>19</v>
      </c>
      <c r="E95" s="746"/>
      <c r="F95" s="746"/>
      <c r="G95" s="749"/>
      <c r="H95" s="151" t="s">
        <v>493</v>
      </c>
      <c r="I95" s="31">
        <v>3</v>
      </c>
      <c r="J95" s="64">
        <v>3</v>
      </c>
      <c r="K95" s="135">
        <f t="shared" ref="K95:K109" si="1">IF(I95=1,J95/FLU_DAYS_PER_MONTH,IF(I95=2,J95/FLU_HOURS_PER_MONTH,J95/FLU_MINUTES_PER_MONTH))</f>
        <v>2.8409090909090908E-4</v>
      </c>
      <c r="L95" s="162">
        <f ca="1">OFFSET(Cost_Ingredients!$N$73,D95,0)*K95</f>
        <v>0</v>
      </c>
      <c r="M95" s="162">
        <f ca="1">OFFSET(Cost_Ingredients!$O$73,D95,0)*K95</f>
        <v>14.91903409090909</v>
      </c>
      <c r="N95" s="179">
        <f ca="1">L95/Cost_Ingredients!$J$21</f>
        <v>0</v>
      </c>
      <c r="O95" s="179">
        <f ca="1">M95/Cost_Ingredients!$J$21</f>
        <v>9.946022727272727E-2</v>
      </c>
      <c r="P95" s="151"/>
    </row>
    <row r="96" spans="3:16" s="23" customFormat="1" outlineLevel="1">
      <c r="D96" s="746">
        <v>19</v>
      </c>
      <c r="E96" s="746"/>
      <c r="F96" s="746"/>
      <c r="G96" s="749"/>
      <c r="H96" s="151" t="s">
        <v>685</v>
      </c>
      <c r="I96" s="31">
        <v>3</v>
      </c>
      <c r="J96" s="64">
        <v>3</v>
      </c>
      <c r="K96" s="135">
        <f t="shared" si="1"/>
        <v>2.8409090909090908E-4</v>
      </c>
      <c r="L96" s="162">
        <f ca="1">OFFSET(Cost_Ingredients!$N$73,D96,0)*K96</f>
        <v>0</v>
      </c>
      <c r="M96" s="162">
        <f ca="1">OFFSET(Cost_Ingredients!$O$73,D96,0)*K96</f>
        <v>14.91903409090909</v>
      </c>
      <c r="N96" s="179">
        <f ca="1">L96/Cost_Ingredients!$J$21</f>
        <v>0</v>
      </c>
      <c r="O96" s="179">
        <f ca="1">M96/Cost_Ingredients!$J$21</f>
        <v>9.946022727272727E-2</v>
      </c>
      <c r="P96" s="151"/>
    </row>
    <row r="97" spans="3:16" s="23" customFormat="1" outlineLevel="1">
      <c r="D97" s="746">
        <v>1</v>
      </c>
      <c r="E97" s="746"/>
      <c r="F97" s="746"/>
      <c r="G97" s="749"/>
      <c r="H97" s="151"/>
      <c r="I97" s="31">
        <v>1</v>
      </c>
      <c r="J97" s="64"/>
      <c r="K97" s="135">
        <f t="shared" si="1"/>
        <v>0</v>
      </c>
      <c r="L97" s="162">
        <f ca="1">OFFSET(Cost_Ingredients!$N$73,D97,0)*K97</f>
        <v>0</v>
      </c>
      <c r="M97" s="162">
        <f ca="1">OFFSET(Cost_Ingredients!$O$73,D97,0)*K97</f>
        <v>0</v>
      </c>
      <c r="N97" s="179">
        <f ca="1">L97/Cost_Ingredients!$J$21</f>
        <v>0</v>
      </c>
      <c r="O97" s="179">
        <f ca="1">M97/Cost_Ingredients!$J$21</f>
        <v>0</v>
      </c>
      <c r="P97" s="151"/>
    </row>
    <row r="98" spans="3:16" s="23" customFormat="1" outlineLevel="1">
      <c r="D98" s="746">
        <v>1</v>
      </c>
      <c r="E98" s="746"/>
      <c r="F98" s="746"/>
      <c r="G98" s="749"/>
      <c r="H98" s="151"/>
      <c r="I98" s="31">
        <v>1</v>
      </c>
      <c r="J98" s="64"/>
      <c r="K98" s="135">
        <f t="shared" si="1"/>
        <v>0</v>
      </c>
      <c r="L98" s="162">
        <f ca="1">OFFSET(Cost_Ingredients!$N$73,D98,0)*K98</f>
        <v>0</v>
      </c>
      <c r="M98" s="162">
        <f ca="1">OFFSET(Cost_Ingredients!$O$73,D98,0)*K98</f>
        <v>0</v>
      </c>
      <c r="N98" s="179">
        <f ca="1">L98/Cost_Ingredients!$J$21</f>
        <v>0</v>
      </c>
      <c r="O98" s="179">
        <f ca="1">M98/Cost_Ingredients!$J$21</f>
        <v>0</v>
      </c>
      <c r="P98" s="151"/>
    </row>
    <row r="99" spans="3:16" s="23" customFormat="1" outlineLevel="1">
      <c r="D99" s="746">
        <v>1</v>
      </c>
      <c r="E99" s="746"/>
      <c r="F99" s="746"/>
      <c r="G99" s="749"/>
      <c r="H99" s="151"/>
      <c r="I99" s="31">
        <v>1</v>
      </c>
      <c r="J99" s="64"/>
      <c r="K99" s="135">
        <f t="shared" si="1"/>
        <v>0</v>
      </c>
      <c r="L99" s="162">
        <f ca="1">OFFSET(Cost_Ingredients!$N$73,D99,0)*K99</f>
        <v>0</v>
      </c>
      <c r="M99" s="162">
        <f ca="1">OFFSET(Cost_Ingredients!$O$73,D99,0)*K99</f>
        <v>0</v>
      </c>
      <c r="N99" s="179">
        <f ca="1">L99/Cost_Ingredients!$J$21</f>
        <v>0</v>
      </c>
      <c r="O99" s="179">
        <f ca="1">M99/Cost_Ingredients!$J$21</f>
        <v>0</v>
      </c>
      <c r="P99" s="151"/>
    </row>
    <row r="100" spans="3:16" s="23" customFormat="1" outlineLevel="1">
      <c r="D100" s="746">
        <v>1</v>
      </c>
      <c r="E100" s="746"/>
      <c r="F100" s="746"/>
      <c r="G100" s="749"/>
      <c r="H100" s="151"/>
      <c r="I100" s="31">
        <v>1</v>
      </c>
      <c r="J100" s="64"/>
      <c r="K100" s="135">
        <f t="shared" si="1"/>
        <v>0</v>
      </c>
      <c r="L100" s="162">
        <f ca="1">OFFSET(Cost_Ingredients!$N$73,D100,0)*K100</f>
        <v>0</v>
      </c>
      <c r="M100" s="162">
        <f ca="1">OFFSET(Cost_Ingredients!$O$73,D100,0)*K100</f>
        <v>0</v>
      </c>
      <c r="N100" s="179">
        <f ca="1">L100/Cost_Ingredients!$J$21</f>
        <v>0</v>
      </c>
      <c r="O100" s="179">
        <f ca="1">M100/Cost_Ingredients!$J$21</f>
        <v>0</v>
      </c>
      <c r="P100" s="151"/>
    </row>
    <row r="101" spans="3:16" s="23" customFormat="1" outlineLevel="1">
      <c r="D101" s="746">
        <v>1</v>
      </c>
      <c r="E101" s="746"/>
      <c r="F101" s="746"/>
      <c r="G101" s="749"/>
      <c r="H101" s="151"/>
      <c r="I101" s="31">
        <v>1</v>
      </c>
      <c r="J101" s="64"/>
      <c r="K101" s="135">
        <f t="shared" si="1"/>
        <v>0</v>
      </c>
      <c r="L101" s="162">
        <f ca="1">OFFSET(Cost_Ingredients!$N$73,D101,0)*K101</f>
        <v>0</v>
      </c>
      <c r="M101" s="162">
        <f ca="1">OFFSET(Cost_Ingredients!$O$73,D101,0)*K101</f>
        <v>0</v>
      </c>
      <c r="N101" s="179">
        <f ca="1">L101/Cost_Ingredients!$J$21</f>
        <v>0</v>
      </c>
      <c r="O101" s="179">
        <f ca="1">M101/Cost_Ingredients!$J$21</f>
        <v>0</v>
      </c>
      <c r="P101" s="151"/>
    </row>
    <row r="102" spans="3:16" s="23" customFormat="1" outlineLevel="1">
      <c r="D102" s="746">
        <v>1</v>
      </c>
      <c r="E102" s="746"/>
      <c r="F102" s="746"/>
      <c r="G102" s="749"/>
      <c r="H102" s="151"/>
      <c r="I102" s="31">
        <v>1</v>
      </c>
      <c r="J102" s="64">
        <v>0</v>
      </c>
      <c r="K102" s="135">
        <f t="shared" si="1"/>
        <v>0</v>
      </c>
      <c r="L102" s="162">
        <f ca="1">OFFSET(Cost_Ingredients!$N$73,D102,0)*K102</f>
        <v>0</v>
      </c>
      <c r="M102" s="162">
        <f ca="1">OFFSET(Cost_Ingredients!$O$73,D102,0)*K102</f>
        <v>0</v>
      </c>
      <c r="N102" s="179">
        <f ca="1">L102/Cost_Ingredients!$J$21</f>
        <v>0</v>
      </c>
      <c r="O102" s="179">
        <f ca="1">M102/Cost_Ingredients!$J$21</f>
        <v>0</v>
      </c>
      <c r="P102" s="151"/>
    </row>
    <row r="103" spans="3:16" s="23" customFormat="1" outlineLevel="1">
      <c r="D103" s="746">
        <v>1</v>
      </c>
      <c r="E103" s="746"/>
      <c r="F103" s="746"/>
      <c r="G103" s="749"/>
      <c r="H103" s="151"/>
      <c r="I103" s="31">
        <v>1</v>
      </c>
      <c r="J103" s="64">
        <v>0</v>
      </c>
      <c r="K103" s="135">
        <f t="shared" si="1"/>
        <v>0</v>
      </c>
      <c r="L103" s="162">
        <f ca="1">OFFSET(Cost_Ingredients!$N$73,D103,0)*K103</f>
        <v>0</v>
      </c>
      <c r="M103" s="162">
        <f ca="1">OFFSET(Cost_Ingredients!$O$73,D103,0)*K103</f>
        <v>0</v>
      </c>
      <c r="N103" s="179">
        <f ca="1">L103/Cost_Ingredients!$J$21</f>
        <v>0</v>
      </c>
      <c r="O103" s="179">
        <f ca="1">M103/Cost_Ingredients!$J$21</f>
        <v>0</v>
      </c>
      <c r="P103" s="151"/>
    </row>
    <row r="104" spans="3:16" s="23" customFormat="1" outlineLevel="1">
      <c r="D104" s="746">
        <v>1</v>
      </c>
      <c r="E104" s="746"/>
      <c r="F104" s="746"/>
      <c r="G104" s="749"/>
      <c r="H104" s="151"/>
      <c r="I104" s="31">
        <v>1</v>
      </c>
      <c r="J104" s="64">
        <v>0</v>
      </c>
      <c r="K104" s="135">
        <f t="shared" si="1"/>
        <v>0</v>
      </c>
      <c r="L104" s="162">
        <f ca="1">OFFSET(Cost_Ingredients!$N$73,D104,0)*K104</f>
        <v>0</v>
      </c>
      <c r="M104" s="162">
        <f ca="1">OFFSET(Cost_Ingredients!$O$73,D104,0)*K104</f>
        <v>0</v>
      </c>
      <c r="N104" s="179">
        <f ca="1">L104/Cost_Ingredients!$J$21</f>
        <v>0</v>
      </c>
      <c r="O104" s="179">
        <f ca="1">M104/Cost_Ingredients!$J$21</f>
        <v>0</v>
      </c>
      <c r="P104" s="151"/>
    </row>
    <row r="105" spans="3:16" s="23" customFormat="1" outlineLevel="1">
      <c r="D105" s="746">
        <v>1</v>
      </c>
      <c r="E105" s="746"/>
      <c r="F105" s="746"/>
      <c r="G105" s="749"/>
      <c r="H105" s="151"/>
      <c r="I105" s="31">
        <v>1</v>
      </c>
      <c r="J105" s="64">
        <v>0</v>
      </c>
      <c r="K105" s="135">
        <f t="shared" si="1"/>
        <v>0</v>
      </c>
      <c r="L105" s="162">
        <f ca="1">OFFSET(Cost_Ingredients!$N$73,D105,0)*K105</f>
        <v>0</v>
      </c>
      <c r="M105" s="162">
        <f ca="1">OFFSET(Cost_Ingredients!$O$73,D105,0)*K105</f>
        <v>0</v>
      </c>
      <c r="N105" s="179">
        <f ca="1">L105/Cost_Ingredients!$J$21</f>
        <v>0</v>
      </c>
      <c r="O105" s="179">
        <f ca="1">M105/Cost_Ingredients!$J$21</f>
        <v>0</v>
      </c>
      <c r="P105" s="151"/>
    </row>
    <row r="106" spans="3:16" s="23" customFormat="1" outlineLevel="1">
      <c r="D106" s="746">
        <v>1</v>
      </c>
      <c r="E106" s="746"/>
      <c r="F106" s="746"/>
      <c r="G106" s="749"/>
      <c r="H106" s="151"/>
      <c r="I106" s="31">
        <v>1</v>
      </c>
      <c r="J106" s="64">
        <v>0</v>
      </c>
      <c r="K106" s="135">
        <f t="shared" si="1"/>
        <v>0</v>
      </c>
      <c r="L106" s="162">
        <f ca="1">OFFSET(Cost_Ingredients!$N$73,D106,0)*K106</f>
        <v>0</v>
      </c>
      <c r="M106" s="162">
        <f ca="1">OFFSET(Cost_Ingredients!$O$73,D106,0)*K106</f>
        <v>0</v>
      </c>
      <c r="N106" s="179">
        <f ca="1">L106/Cost_Ingredients!$J$21</f>
        <v>0</v>
      </c>
      <c r="O106" s="179">
        <f ca="1">M106/Cost_Ingredients!$J$21</f>
        <v>0</v>
      </c>
      <c r="P106" s="151"/>
    </row>
    <row r="107" spans="3:16" s="23" customFormat="1" outlineLevel="1">
      <c r="D107" s="746">
        <v>1</v>
      </c>
      <c r="E107" s="746"/>
      <c r="F107" s="746"/>
      <c r="G107" s="749"/>
      <c r="H107" s="151"/>
      <c r="I107" s="31">
        <v>1</v>
      </c>
      <c r="J107" s="64">
        <v>0</v>
      </c>
      <c r="K107" s="135">
        <f t="shared" si="1"/>
        <v>0</v>
      </c>
      <c r="L107" s="162">
        <f ca="1">OFFSET(Cost_Ingredients!$N$73,D107,0)*K107</f>
        <v>0</v>
      </c>
      <c r="M107" s="162">
        <f ca="1">OFFSET(Cost_Ingredients!$O$73,D107,0)*K107</f>
        <v>0</v>
      </c>
      <c r="N107" s="179">
        <f ca="1">L107/Cost_Ingredients!$J$21</f>
        <v>0</v>
      </c>
      <c r="O107" s="179">
        <f ca="1">M107/Cost_Ingredients!$J$21</f>
        <v>0</v>
      </c>
      <c r="P107" s="151"/>
    </row>
    <row r="108" spans="3:16" s="23" customFormat="1" outlineLevel="1">
      <c r="D108" s="746">
        <v>1</v>
      </c>
      <c r="E108" s="746"/>
      <c r="F108" s="746"/>
      <c r="G108" s="749"/>
      <c r="H108" s="151"/>
      <c r="I108" s="31">
        <v>1</v>
      </c>
      <c r="J108" s="64">
        <v>0</v>
      </c>
      <c r="K108" s="135">
        <f t="shared" si="1"/>
        <v>0</v>
      </c>
      <c r="L108" s="162">
        <f ca="1">OFFSET(Cost_Ingredients!$N$73,D108,0)*K108</f>
        <v>0</v>
      </c>
      <c r="M108" s="162">
        <f ca="1">OFFSET(Cost_Ingredients!$O$73,D108,0)*K108</f>
        <v>0</v>
      </c>
      <c r="N108" s="179">
        <f ca="1">L108/Cost_Ingredients!$J$21</f>
        <v>0</v>
      </c>
      <c r="O108" s="179">
        <f ca="1">M108/Cost_Ingredients!$J$21</f>
        <v>0</v>
      </c>
      <c r="P108" s="151"/>
    </row>
    <row r="109" spans="3:16" s="23" customFormat="1" outlineLevel="1">
      <c r="D109" s="746">
        <v>1</v>
      </c>
      <c r="E109" s="746"/>
      <c r="F109" s="746"/>
      <c r="G109" s="749"/>
      <c r="H109" s="172"/>
      <c r="I109" s="31">
        <v>1</v>
      </c>
      <c r="J109" s="173">
        <v>0</v>
      </c>
      <c r="K109" s="135">
        <f t="shared" si="1"/>
        <v>0</v>
      </c>
      <c r="L109" s="162">
        <f ca="1">OFFSET(Cost_Ingredients!$N$73,D109,0)*K109</f>
        <v>0</v>
      </c>
      <c r="M109" s="162">
        <f ca="1">OFFSET(Cost_Ingredients!$O$73,D109,0)*K109</f>
        <v>0</v>
      </c>
      <c r="N109" s="179">
        <f ca="1">L109/Cost_Ingredients!$J$21</f>
        <v>0</v>
      </c>
      <c r="O109" s="179">
        <f ca="1">M109/Cost_Ingredients!$J$21</f>
        <v>0</v>
      </c>
      <c r="P109" s="172"/>
    </row>
    <row r="110" spans="3:16" s="23" customFormat="1">
      <c r="D110" s="774" t="str">
        <f>"Subtotal - "&amp;C94</f>
        <v xml:space="preserve">Subtotal - </v>
      </c>
      <c r="E110" s="774"/>
      <c r="F110" s="774"/>
      <c r="G110" s="774"/>
      <c r="H110" s="156"/>
      <c r="I110" s="12"/>
      <c r="J110" s="69"/>
      <c r="K110" s="18"/>
      <c r="L110" s="255">
        <f ca="1">SUM(L95:L109)</f>
        <v>0</v>
      </c>
      <c r="M110" s="255">
        <f ca="1">SUM(M95:M109)</f>
        <v>29.83806818181818</v>
      </c>
      <c r="N110" s="258">
        <f ca="1">SUM(N95:N109)</f>
        <v>0</v>
      </c>
      <c r="O110" s="258">
        <f ca="1">SUM(O95:O109)</f>
        <v>0.19892045454545454</v>
      </c>
      <c r="P110" s="156"/>
    </row>
    <row r="111" spans="3:16" s="23" customFormat="1"/>
    <row r="112" spans="3:16" s="23" customFormat="1">
      <c r="C112" s="160" t="str">
        <f>FLU_LU!$D$279</f>
        <v>Allowances</v>
      </c>
    </row>
    <row r="113" spans="4:16" s="23" customFormat="1" ht="28.8" outlineLevel="1">
      <c r="D113" s="733" t="s">
        <v>100</v>
      </c>
      <c r="E113" s="733"/>
      <c r="F113" s="733"/>
      <c r="G113" s="733"/>
      <c r="H113" s="730" t="s">
        <v>274</v>
      </c>
      <c r="I113" s="730"/>
      <c r="J113" s="152" t="s">
        <v>67</v>
      </c>
      <c r="L113" s="28" t="str">
        <f>"Financial Price ("&amp;FLU_LU!$D$79&amp;")"</f>
        <v>Financial Price (GOZ)</v>
      </c>
      <c r="M113" s="28" t="str">
        <f>"Economic Price ("&amp;FLU_LU!$D$79&amp;")"</f>
        <v>Economic Price (GOZ)</v>
      </c>
      <c r="N113" s="28" t="str">
        <f>"Financial Price ("&amp;FLU_LU!$D$78&amp;")"</f>
        <v>Financial Price (USD)</v>
      </c>
      <c r="O113" s="28" t="str">
        <f>"Economic Price ("&amp;FLU_LU!$D$78&amp;")"</f>
        <v>Economic Price (USD)</v>
      </c>
      <c r="P113" s="152" t="s">
        <v>68</v>
      </c>
    </row>
    <row r="114" spans="4:16" s="23" customFormat="1" outlineLevel="1">
      <c r="D114" s="746">
        <v>1</v>
      </c>
      <c r="E114" s="746"/>
      <c r="F114" s="746"/>
      <c r="G114" s="749"/>
      <c r="H114" s="667"/>
      <c r="I114" s="667"/>
      <c r="J114" s="64"/>
      <c r="L114" s="162">
        <f ca="1">OFFSET(Cost_Ingredients!$N$103,D114,0)*J114</f>
        <v>0</v>
      </c>
      <c r="M114" s="162">
        <f ca="1">OFFSET(Cost_Ingredients!$O$103,D114,0)*J114</f>
        <v>0</v>
      </c>
      <c r="N114" s="163">
        <f ca="1">L114/Cost_Ingredients!$J$21</f>
        <v>0</v>
      </c>
      <c r="O114" s="163">
        <f ca="1">M114/Cost_Ingredients!$J$21</f>
        <v>0</v>
      </c>
      <c r="P114" s="151"/>
    </row>
    <row r="115" spans="4:16" s="23" customFormat="1" outlineLevel="1">
      <c r="D115" s="746">
        <v>1</v>
      </c>
      <c r="E115" s="746"/>
      <c r="F115" s="746"/>
      <c r="G115" s="749"/>
      <c r="H115" s="667"/>
      <c r="I115" s="667"/>
      <c r="J115" s="64"/>
      <c r="L115" s="162">
        <f ca="1">OFFSET(Cost_Ingredients!$N$103,D115,0)*J115</f>
        <v>0</v>
      </c>
      <c r="M115" s="162">
        <f ca="1">OFFSET(Cost_Ingredients!$O$103,D115,0)*J115</f>
        <v>0</v>
      </c>
      <c r="N115" s="163">
        <f ca="1">L115/Cost_Ingredients!$J$21</f>
        <v>0</v>
      </c>
      <c r="O115" s="163">
        <f ca="1">M115/Cost_Ingredients!$J$21</f>
        <v>0</v>
      </c>
      <c r="P115" s="151"/>
    </row>
    <row r="116" spans="4:16" s="23" customFormat="1" outlineLevel="1">
      <c r="D116" s="746">
        <v>1</v>
      </c>
      <c r="E116" s="746"/>
      <c r="F116" s="746"/>
      <c r="G116" s="749"/>
      <c r="H116" s="667"/>
      <c r="I116" s="667"/>
      <c r="J116" s="64"/>
      <c r="L116" s="162">
        <f ca="1">OFFSET(Cost_Ingredients!$N$103,D116,0)*J116</f>
        <v>0</v>
      </c>
      <c r="M116" s="162">
        <f ca="1">OFFSET(Cost_Ingredients!$O$103,D116,0)*J116</f>
        <v>0</v>
      </c>
      <c r="N116" s="163">
        <f ca="1">L116/Cost_Ingredients!$J$21</f>
        <v>0</v>
      </c>
      <c r="O116" s="163">
        <f ca="1">M116/Cost_Ingredients!$J$21</f>
        <v>0</v>
      </c>
      <c r="P116" s="151"/>
    </row>
    <row r="117" spans="4:16" s="23" customFormat="1" outlineLevel="1">
      <c r="D117" s="746">
        <v>1</v>
      </c>
      <c r="E117" s="746"/>
      <c r="F117" s="746"/>
      <c r="G117" s="749"/>
      <c r="H117" s="667"/>
      <c r="I117" s="667"/>
      <c r="J117" s="64"/>
      <c r="L117" s="162">
        <f ca="1">OFFSET(Cost_Ingredients!$N$103,D117,0)*J117</f>
        <v>0</v>
      </c>
      <c r="M117" s="162">
        <f ca="1">OFFSET(Cost_Ingredients!$O$103,D117,0)*J117</f>
        <v>0</v>
      </c>
      <c r="N117" s="163">
        <f ca="1">L117/Cost_Ingredients!$J$21</f>
        <v>0</v>
      </c>
      <c r="O117" s="163">
        <f ca="1">M117/Cost_Ingredients!$J$21</f>
        <v>0</v>
      </c>
      <c r="P117" s="151"/>
    </row>
    <row r="118" spans="4:16" s="23" customFormat="1" outlineLevel="1">
      <c r="D118" s="746">
        <v>1</v>
      </c>
      <c r="E118" s="746"/>
      <c r="F118" s="746"/>
      <c r="G118" s="749"/>
      <c r="H118" s="667"/>
      <c r="I118" s="667"/>
      <c r="J118" s="64"/>
      <c r="L118" s="162">
        <f ca="1">OFFSET(Cost_Ingredients!$N$103,D118,0)*J118</f>
        <v>0</v>
      </c>
      <c r="M118" s="162">
        <f ca="1">OFFSET(Cost_Ingredients!$O$103,D118,0)*J118</f>
        <v>0</v>
      </c>
      <c r="N118" s="163">
        <f ca="1">L118/Cost_Ingredients!$J$21</f>
        <v>0</v>
      </c>
      <c r="O118" s="163">
        <f ca="1">M118/Cost_Ingredients!$J$21</f>
        <v>0</v>
      </c>
      <c r="P118" s="151"/>
    </row>
    <row r="119" spans="4:16" s="23" customFormat="1" outlineLevel="1">
      <c r="D119" s="746">
        <v>1</v>
      </c>
      <c r="E119" s="746"/>
      <c r="F119" s="746"/>
      <c r="G119" s="749"/>
      <c r="H119" s="667"/>
      <c r="I119" s="667"/>
      <c r="J119" s="64"/>
      <c r="L119" s="162">
        <f ca="1">OFFSET(Cost_Ingredients!$N$103,D119,0)*J119</f>
        <v>0</v>
      </c>
      <c r="M119" s="162">
        <f ca="1">OFFSET(Cost_Ingredients!$O$103,D119,0)*J119</f>
        <v>0</v>
      </c>
      <c r="N119" s="163">
        <f ca="1">L119/Cost_Ingredients!$J$21</f>
        <v>0</v>
      </c>
      <c r="O119" s="163">
        <f ca="1">M119/Cost_Ingredients!$J$21</f>
        <v>0</v>
      </c>
      <c r="P119" s="151"/>
    </row>
    <row r="120" spans="4:16" s="23" customFormat="1" outlineLevel="1">
      <c r="D120" s="746">
        <v>1</v>
      </c>
      <c r="E120" s="746"/>
      <c r="F120" s="746"/>
      <c r="G120" s="749"/>
      <c r="H120" s="667"/>
      <c r="I120" s="667"/>
      <c r="J120" s="64"/>
      <c r="L120" s="162">
        <f ca="1">OFFSET(Cost_Ingredients!$N$103,D120,0)*J120</f>
        <v>0</v>
      </c>
      <c r="M120" s="162">
        <f ca="1">OFFSET(Cost_Ingredients!$O$103,D120,0)*J120</f>
        <v>0</v>
      </c>
      <c r="N120" s="163">
        <f ca="1">L120/Cost_Ingredients!$J$21</f>
        <v>0</v>
      </c>
      <c r="O120" s="163">
        <f ca="1">M120/Cost_Ingredients!$J$21</f>
        <v>0</v>
      </c>
      <c r="P120" s="151"/>
    </row>
    <row r="121" spans="4:16" s="23" customFormat="1" outlineLevel="1">
      <c r="D121" s="746">
        <v>1</v>
      </c>
      <c r="E121" s="746"/>
      <c r="F121" s="746"/>
      <c r="G121" s="749"/>
      <c r="H121" s="667"/>
      <c r="I121" s="667"/>
      <c r="J121" s="64"/>
      <c r="L121" s="162">
        <f ca="1">OFFSET(Cost_Ingredients!$N$103,D121,0)*J121</f>
        <v>0</v>
      </c>
      <c r="M121" s="162">
        <f ca="1">OFFSET(Cost_Ingredients!$O$103,D121,0)*J121</f>
        <v>0</v>
      </c>
      <c r="N121" s="163">
        <f ca="1">L121/Cost_Ingredients!$J$21</f>
        <v>0</v>
      </c>
      <c r="O121" s="163">
        <f ca="1">M121/Cost_Ingredients!$J$21</f>
        <v>0</v>
      </c>
      <c r="P121" s="151"/>
    </row>
    <row r="122" spans="4:16" s="23" customFormat="1" outlineLevel="1">
      <c r="D122" s="746">
        <v>1</v>
      </c>
      <c r="E122" s="746"/>
      <c r="F122" s="746"/>
      <c r="G122" s="749"/>
      <c r="H122" s="667"/>
      <c r="I122" s="667"/>
      <c r="J122" s="64"/>
      <c r="L122" s="162">
        <f ca="1">OFFSET(Cost_Ingredients!$N$103,D122,0)*J122</f>
        <v>0</v>
      </c>
      <c r="M122" s="162">
        <f ca="1">OFFSET(Cost_Ingredients!$O$103,D122,0)*J122</f>
        <v>0</v>
      </c>
      <c r="N122" s="163">
        <f ca="1">L122/Cost_Ingredients!$J$21</f>
        <v>0</v>
      </c>
      <c r="O122" s="163">
        <f ca="1">M122/Cost_Ingredients!$J$21</f>
        <v>0</v>
      </c>
      <c r="P122" s="151"/>
    </row>
    <row r="123" spans="4:16" s="23" customFormat="1" outlineLevel="1">
      <c r="D123" s="746">
        <v>1</v>
      </c>
      <c r="E123" s="746"/>
      <c r="F123" s="746"/>
      <c r="G123" s="749"/>
      <c r="H123" s="667"/>
      <c r="I123" s="667"/>
      <c r="J123" s="64"/>
      <c r="L123" s="162">
        <f ca="1">OFFSET(Cost_Ingredients!$N$103,D123,0)*J123</f>
        <v>0</v>
      </c>
      <c r="M123" s="162">
        <f ca="1">OFFSET(Cost_Ingredients!$O$103,D123,0)*J123</f>
        <v>0</v>
      </c>
      <c r="N123" s="163">
        <f ca="1">L123/Cost_Ingredients!$J$21</f>
        <v>0</v>
      </c>
      <c r="O123" s="163">
        <f ca="1">M123/Cost_Ingredients!$J$21</f>
        <v>0</v>
      </c>
      <c r="P123" s="151"/>
    </row>
    <row r="124" spans="4:16" s="23" customFormat="1" outlineLevel="1">
      <c r="D124" s="746">
        <v>1</v>
      </c>
      <c r="E124" s="746"/>
      <c r="F124" s="746"/>
      <c r="G124" s="749"/>
      <c r="H124" s="667"/>
      <c r="I124" s="667"/>
      <c r="J124" s="64"/>
      <c r="L124" s="162">
        <f ca="1">OFFSET(Cost_Ingredients!$N$103,D124,0)*J124</f>
        <v>0</v>
      </c>
      <c r="M124" s="162">
        <f ca="1">OFFSET(Cost_Ingredients!$O$103,D124,0)*J124</f>
        <v>0</v>
      </c>
      <c r="N124" s="163">
        <f ca="1">L124/Cost_Ingredients!$J$21</f>
        <v>0</v>
      </c>
      <c r="O124" s="163">
        <f ca="1">M124/Cost_Ingredients!$J$21</f>
        <v>0</v>
      </c>
      <c r="P124" s="151"/>
    </row>
    <row r="125" spans="4:16" s="23" customFormat="1" outlineLevel="1">
      <c r="D125" s="746">
        <v>1</v>
      </c>
      <c r="E125" s="746"/>
      <c r="F125" s="746"/>
      <c r="G125" s="749"/>
      <c r="H125" s="667"/>
      <c r="I125" s="667"/>
      <c r="J125" s="64"/>
      <c r="L125" s="162">
        <f ca="1">OFFSET(Cost_Ingredients!$N$103,D125,0)*J125</f>
        <v>0</v>
      </c>
      <c r="M125" s="162">
        <f ca="1">OFFSET(Cost_Ingredients!$O$103,D125,0)*J125</f>
        <v>0</v>
      </c>
      <c r="N125" s="163">
        <f ca="1">L125/Cost_Ingredients!$J$21</f>
        <v>0</v>
      </c>
      <c r="O125" s="163">
        <f ca="1">M125/Cost_Ingredients!$J$21</f>
        <v>0</v>
      </c>
      <c r="P125" s="151"/>
    </row>
    <row r="126" spans="4:16" s="23" customFormat="1" outlineLevel="1">
      <c r="D126" s="746">
        <v>1</v>
      </c>
      <c r="E126" s="746"/>
      <c r="F126" s="746"/>
      <c r="G126" s="749"/>
      <c r="H126" s="667"/>
      <c r="I126" s="667"/>
      <c r="J126" s="64"/>
      <c r="L126" s="162">
        <f ca="1">OFFSET(Cost_Ingredients!$N$103,D126,0)*J126</f>
        <v>0</v>
      </c>
      <c r="M126" s="162">
        <f ca="1">OFFSET(Cost_Ingredients!$O$103,D126,0)*J126</f>
        <v>0</v>
      </c>
      <c r="N126" s="163">
        <f ca="1">L126/Cost_Ingredients!$J$21</f>
        <v>0</v>
      </c>
      <c r="O126" s="163">
        <f ca="1">M126/Cost_Ingredients!$J$21</f>
        <v>0</v>
      </c>
      <c r="P126" s="151"/>
    </row>
    <row r="127" spans="4:16" s="23" customFormat="1" outlineLevel="1">
      <c r="D127" s="746">
        <v>1</v>
      </c>
      <c r="E127" s="746"/>
      <c r="F127" s="746"/>
      <c r="G127" s="749"/>
      <c r="H127" s="667"/>
      <c r="I127" s="667"/>
      <c r="J127" s="64"/>
      <c r="L127" s="162">
        <f ca="1">OFFSET(Cost_Ingredients!$N$103,D127,0)*J127</f>
        <v>0</v>
      </c>
      <c r="M127" s="162">
        <f ca="1">OFFSET(Cost_Ingredients!$O$103,D127,0)*J127</f>
        <v>0</v>
      </c>
      <c r="N127" s="163">
        <f ca="1">L127/Cost_Ingredients!$J$21</f>
        <v>0</v>
      </c>
      <c r="O127" s="163">
        <f ca="1">M127/Cost_Ingredients!$J$21</f>
        <v>0</v>
      </c>
      <c r="P127" s="151"/>
    </row>
    <row r="128" spans="4:16" s="23" customFormat="1" outlineLevel="1">
      <c r="D128" s="746">
        <v>1</v>
      </c>
      <c r="E128" s="746"/>
      <c r="F128" s="746"/>
      <c r="G128" s="749"/>
      <c r="H128" s="745"/>
      <c r="I128" s="745"/>
      <c r="J128" s="173">
        <v>0</v>
      </c>
      <c r="L128" s="162">
        <f ca="1">OFFSET(Cost_Ingredients!$N$103,D128,0)*J128</f>
        <v>0</v>
      </c>
      <c r="M128" s="162">
        <f ca="1">OFFSET(Cost_Ingredients!$O$103,D128,0)*J128</f>
        <v>0</v>
      </c>
      <c r="N128" s="163">
        <f ca="1">L128/Cost_Ingredients!$J$21</f>
        <v>0</v>
      </c>
      <c r="O128" s="163">
        <f ca="1">M128/Cost_Ingredients!$J$21</f>
        <v>0</v>
      </c>
      <c r="P128" s="172"/>
    </row>
    <row r="129" spans="3:16" s="23" customFormat="1">
      <c r="D129" s="754" t="str">
        <f>"Subtotal - "&amp;C112</f>
        <v>Subtotal - Allowances</v>
      </c>
      <c r="E129" s="754"/>
      <c r="F129" s="754"/>
      <c r="G129" s="754"/>
      <c r="H129" s="156"/>
      <c r="I129" s="156"/>
      <c r="J129" s="69"/>
      <c r="L129" s="255">
        <f ca="1">SUM(L114:L128)</f>
        <v>0</v>
      </c>
      <c r="M129" s="255">
        <f ca="1">SUM(M114:M128)</f>
        <v>0</v>
      </c>
      <c r="N129" s="258">
        <f ca="1">SUM(N114:N128)</f>
        <v>0</v>
      </c>
      <c r="O129" s="258">
        <f ca="1">SUM(O114:O128)</f>
        <v>0</v>
      </c>
      <c r="P129" s="156"/>
    </row>
    <row r="130" spans="3:16">
      <c r="L130" s="23"/>
      <c r="M130" s="23"/>
      <c r="N130" s="23"/>
      <c r="O130" s="23"/>
    </row>
    <row r="131" spans="3:16">
      <c r="C131" s="160" t="str">
        <f>FLU_LU!$D$280</f>
        <v>Supplies &amp; Materials</v>
      </c>
    </row>
    <row r="132" spans="3:16" ht="28.8" outlineLevel="1">
      <c r="C132" s="23"/>
      <c r="D132" s="733" t="s">
        <v>100</v>
      </c>
      <c r="E132" s="733"/>
      <c r="F132" s="733"/>
      <c r="G132" s="733"/>
      <c r="H132" s="142" t="s">
        <v>274</v>
      </c>
      <c r="I132" s="72" t="s">
        <v>275</v>
      </c>
      <c r="J132" s="152" t="s">
        <v>67</v>
      </c>
      <c r="L132" s="28" t="str">
        <f>"Financial Price ("&amp;FLU_LU!$D$79&amp;")"</f>
        <v>Financial Price (GOZ)</v>
      </c>
      <c r="M132" s="28" t="str">
        <f>"Economic Price ("&amp;FLU_LU!$D$79&amp;")"</f>
        <v>Economic Price (GOZ)</v>
      </c>
      <c r="N132" s="28" t="str">
        <f>"Financial Price ("&amp;FLU_LU!$D$78&amp;")"</f>
        <v>Financial Price (USD)</v>
      </c>
      <c r="O132" s="28" t="str">
        <f>"Economic Price ("&amp;FLU_LU!$D$78&amp;")"</f>
        <v>Economic Price (USD)</v>
      </c>
      <c r="P132" s="152" t="s">
        <v>68</v>
      </c>
    </row>
    <row r="133" spans="3:16" s="23" customFormat="1" outlineLevel="1">
      <c r="D133" s="746">
        <v>8</v>
      </c>
      <c r="E133" s="746"/>
      <c r="F133" s="746"/>
      <c r="G133" s="749"/>
      <c r="H133" s="151" t="s">
        <v>687</v>
      </c>
      <c r="I133" s="159" t="str">
        <f ca="1">OFFSET(Cost_Ingredients!$M$117,D133,0)</f>
        <v>1 entry</v>
      </c>
      <c r="J133" s="64">
        <v>1</v>
      </c>
      <c r="L133" s="162">
        <f ca="1">OFFSET(Cost_Ingredients!$N$117,D133,0)*J133</f>
        <v>0</v>
      </c>
      <c r="M133" s="162">
        <f ca="1">OFFSET(Cost_Ingredients!$O$117,D133,0)*J133</f>
        <v>12</v>
      </c>
      <c r="N133" s="163">
        <f ca="1">L133/Cost_Ingredients!$J$21</f>
        <v>0</v>
      </c>
      <c r="O133" s="163">
        <f ca="1">M133/Cost_Ingredients!$J$21</f>
        <v>0.08</v>
      </c>
      <c r="P133" s="151" t="s">
        <v>495</v>
      </c>
    </row>
    <row r="134" spans="3:16" s="23" customFormat="1" outlineLevel="1">
      <c r="D134" s="746">
        <v>1</v>
      </c>
      <c r="E134" s="746"/>
      <c r="F134" s="746"/>
      <c r="G134" s="749"/>
      <c r="H134" s="151"/>
      <c r="I134" s="159">
        <f ca="1">OFFSET(Cost_Ingredients!$M$117,D134,0)</f>
        <v>0</v>
      </c>
      <c r="J134" s="64"/>
      <c r="L134" s="162">
        <f ca="1">OFFSET(Cost_Ingredients!$N$117,D134,0)*J134</f>
        <v>0</v>
      </c>
      <c r="M134" s="162">
        <f ca="1">OFFSET(Cost_Ingredients!$O$117,D134,0)*J134</f>
        <v>0</v>
      </c>
      <c r="N134" s="163">
        <f ca="1">L134/Cost_Ingredients!$J$21</f>
        <v>0</v>
      </c>
      <c r="O134" s="163">
        <f ca="1">M134/Cost_Ingredients!$J$21</f>
        <v>0</v>
      </c>
      <c r="P134" s="151"/>
    </row>
    <row r="135" spans="3:16" s="23" customFormat="1" outlineLevel="1">
      <c r="D135" s="746">
        <v>1</v>
      </c>
      <c r="E135" s="746"/>
      <c r="F135" s="746"/>
      <c r="G135" s="749"/>
      <c r="H135" s="151"/>
      <c r="I135" s="159">
        <f ca="1">OFFSET(Cost_Ingredients!$M$117,D135,0)</f>
        <v>0</v>
      </c>
      <c r="J135" s="64"/>
      <c r="L135" s="162">
        <f ca="1">OFFSET(Cost_Ingredients!$N$117,D135,0)*J135</f>
        <v>0</v>
      </c>
      <c r="M135" s="162">
        <f ca="1">OFFSET(Cost_Ingredients!$O$117,D135,0)*J135</f>
        <v>0</v>
      </c>
      <c r="N135" s="163">
        <f ca="1">L135/Cost_Ingredients!$J$21</f>
        <v>0</v>
      </c>
      <c r="O135" s="163">
        <f ca="1">M135/Cost_Ingredients!$J$21</f>
        <v>0</v>
      </c>
      <c r="P135" s="151"/>
    </row>
    <row r="136" spans="3:16" s="23" customFormat="1" outlineLevel="1">
      <c r="D136" s="746">
        <v>1</v>
      </c>
      <c r="E136" s="746"/>
      <c r="F136" s="746"/>
      <c r="G136" s="749"/>
      <c r="H136" s="151"/>
      <c r="I136" s="159">
        <f ca="1">OFFSET(Cost_Ingredients!$M$117,D136,0)</f>
        <v>0</v>
      </c>
      <c r="J136" s="64"/>
      <c r="L136" s="162">
        <f ca="1">OFFSET(Cost_Ingredients!$N$117,D136,0)*J136</f>
        <v>0</v>
      </c>
      <c r="M136" s="162">
        <f ca="1">OFFSET(Cost_Ingredients!$O$117,D136,0)*J136</f>
        <v>0</v>
      </c>
      <c r="N136" s="163">
        <f ca="1">L136/Cost_Ingredients!$J$21</f>
        <v>0</v>
      </c>
      <c r="O136" s="163">
        <f ca="1">M136/Cost_Ingredients!$J$21</f>
        <v>0</v>
      </c>
      <c r="P136" s="151"/>
    </row>
    <row r="137" spans="3:16" s="23" customFormat="1" outlineLevel="1">
      <c r="D137" s="746">
        <v>1</v>
      </c>
      <c r="E137" s="746"/>
      <c r="F137" s="746"/>
      <c r="G137" s="749"/>
      <c r="H137" s="151"/>
      <c r="I137" s="159">
        <f ca="1">OFFSET(Cost_Ingredients!$M$117,D137,0)</f>
        <v>0</v>
      </c>
      <c r="J137" s="64"/>
      <c r="L137" s="162">
        <f ca="1">OFFSET(Cost_Ingredients!$N$117,D137,0)*J137</f>
        <v>0</v>
      </c>
      <c r="M137" s="162">
        <f ca="1">OFFSET(Cost_Ingredients!$O$117,D137,0)*J137</f>
        <v>0</v>
      </c>
      <c r="N137" s="163">
        <f ca="1">L137/Cost_Ingredients!$J$21</f>
        <v>0</v>
      </c>
      <c r="O137" s="163">
        <f ca="1">M137/Cost_Ingredients!$J$21</f>
        <v>0</v>
      </c>
      <c r="P137" s="151"/>
    </row>
    <row r="138" spans="3:16" s="23" customFormat="1" outlineLevel="1">
      <c r="D138" s="746">
        <v>1</v>
      </c>
      <c r="E138" s="746"/>
      <c r="F138" s="746"/>
      <c r="G138" s="749"/>
      <c r="H138" s="151"/>
      <c r="I138" s="159">
        <f ca="1">OFFSET(Cost_Ingredients!$M$117,D138,0)</f>
        <v>0</v>
      </c>
      <c r="J138" s="64">
        <v>0</v>
      </c>
      <c r="L138" s="162">
        <f ca="1">OFFSET(Cost_Ingredients!$N$117,D138,0)*J138</f>
        <v>0</v>
      </c>
      <c r="M138" s="162">
        <f ca="1">OFFSET(Cost_Ingredients!$O$117,D138,0)*J138</f>
        <v>0</v>
      </c>
      <c r="N138" s="163">
        <f ca="1">L138/Cost_Ingredients!$J$21</f>
        <v>0</v>
      </c>
      <c r="O138" s="163">
        <f ca="1">M138/Cost_Ingredients!$J$21</f>
        <v>0</v>
      </c>
      <c r="P138" s="151"/>
    </row>
    <row r="139" spans="3:16" s="23" customFormat="1" outlineLevel="1">
      <c r="D139" s="746">
        <v>1</v>
      </c>
      <c r="E139" s="746"/>
      <c r="F139" s="746"/>
      <c r="G139" s="749"/>
      <c r="H139" s="151"/>
      <c r="I139" s="159">
        <f ca="1">OFFSET(Cost_Ingredients!$M$117,D139,0)</f>
        <v>0</v>
      </c>
      <c r="J139" s="64">
        <v>0</v>
      </c>
      <c r="L139" s="162">
        <f ca="1">OFFSET(Cost_Ingredients!$N$117,D139,0)*J139</f>
        <v>0</v>
      </c>
      <c r="M139" s="162">
        <f ca="1">OFFSET(Cost_Ingredients!$O$117,D139,0)*J139</f>
        <v>0</v>
      </c>
      <c r="N139" s="163">
        <f ca="1">L139/Cost_Ingredients!$J$21</f>
        <v>0</v>
      </c>
      <c r="O139" s="163">
        <f ca="1">M139/Cost_Ingredients!$J$21</f>
        <v>0</v>
      </c>
      <c r="P139" s="151"/>
    </row>
    <row r="140" spans="3:16" s="23" customFormat="1" outlineLevel="1">
      <c r="D140" s="746">
        <v>1</v>
      </c>
      <c r="E140" s="746"/>
      <c r="F140" s="746"/>
      <c r="G140" s="749"/>
      <c r="H140" s="151"/>
      <c r="I140" s="159">
        <f ca="1">OFFSET(Cost_Ingredients!$M$117,D140,0)</f>
        <v>0</v>
      </c>
      <c r="J140" s="64">
        <v>0</v>
      </c>
      <c r="L140" s="162">
        <f ca="1">OFFSET(Cost_Ingredients!$N$117,D140,0)*J140</f>
        <v>0</v>
      </c>
      <c r="M140" s="162">
        <f ca="1">OFFSET(Cost_Ingredients!$O$117,D140,0)*J140</f>
        <v>0</v>
      </c>
      <c r="N140" s="163">
        <f ca="1">L140/Cost_Ingredients!$J$21</f>
        <v>0</v>
      </c>
      <c r="O140" s="163">
        <f ca="1">M140/Cost_Ingredients!$J$21</f>
        <v>0</v>
      </c>
      <c r="P140" s="151"/>
    </row>
    <row r="141" spans="3:16" s="23" customFormat="1" outlineLevel="1">
      <c r="D141" s="746">
        <v>1</v>
      </c>
      <c r="E141" s="746"/>
      <c r="F141" s="746"/>
      <c r="G141" s="749"/>
      <c r="H141" s="151"/>
      <c r="I141" s="159">
        <f ca="1">OFFSET(Cost_Ingredients!$M$117,D141,0)</f>
        <v>0</v>
      </c>
      <c r="J141" s="64">
        <v>0</v>
      </c>
      <c r="L141" s="162">
        <f ca="1">OFFSET(Cost_Ingredients!$N$117,D141,0)*J141</f>
        <v>0</v>
      </c>
      <c r="M141" s="162">
        <f ca="1">OFFSET(Cost_Ingredients!$O$117,D141,0)*J141</f>
        <v>0</v>
      </c>
      <c r="N141" s="163">
        <f ca="1">L141/Cost_Ingredients!$J$21</f>
        <v>0</v>
      </c>
      <c r="O141" s="163">
        <f ca="1">M141/Cost_Ingredients!$J$21</f>
        <v>0</v>
      </c>
      <c r="P141" s="151"/>
    </row>
    <row r="142" spans="3:16" s="23" customFormat="1" outlineLevel="1">
      <c r="D142" s="746">
        <v>1</v>
      </c>
      <c r="E142" s="746"/>
      <c r="F142" s="746"/>
      <c r="G142" s="749"/>
      <c r="H142" s="151"/>
      <c r="I142" s="159">
        <f ca="1">OFFSET(Cost_Ingredients!$M$117,D142,0)</f>
        <v>0</v>
      </c>
      <c r="J142" s="64">
        <v>0</v>
      </c>
      <c r="L142" s="162">
        <f ca="1">OFFSET(Cost_Ingredients!$N$117,D142,0)*J142</f>
        <v>0</v>
      </c>
      <c r="M142" s="162">
        <f ca="1">OFFSET(Cost_Ingredients!$O$117,D142,0)*J142</f>
        <v>0</v>
      </c>
      <c r="N142" s="163">
        <f ca="1">L142/Cost_Ingredients!$J$21</f>
        <v>0</v>
      </c>
      <c r="O142" s="163">
        <f ca="1">M142/Cost_Ingredients!$J$21</f>
        <v>0</v>
      </c>
      <c r="P142" s="151"/>
    </row>
    <row r="143" spans="3:16" s="23" customFormat="1" outlineLevel="1">
      <c r="D143" s="746">
        <v>1</v>
      </c>
      <c r="E143" s="746"/>
      <c r="F143" s="746"/>
      <c r="G143" s="749"/>
      <c r="H143" s="151"/>
      <c r="I143" s="159">
        <f ca="1">OFFSET(Cost_Ingredients!$M$117,D143,0)</f>
        <v>0</v>
      </c>
      <c r="J143" s="64">
        <v>0</v>
      </c>
      <c r="L143" s="162">
        <f ca="1">OFFSET(Cost_Ingredients!$N$117,D143,0)*J143</f>
        <v>0</v>
      </c>
      <c r="M143" s="162">
        <f ca="1">OFFSET(Cost_Ingredients!$O$117,D143,0)*J143</f>
        <v>0</v>
      </c>
      <c r="N143" s="163">
        <f ca="1">L143/Cost_Ingredients!$J$21</f>
        <v>0</v>
      </c>
      <c r="O143" s="163">
        <f ca="1">M143/Cost_Ingredients!$J$21</f>
        <v>0</v>
      </c>
      <c r="P143" s="151"/>
    </row>
    <row r="144" spans="3:16" s="23" customFormat="1" outlineLevel="1">
      <c r="D144" s="746">
        <v>1</v>
      </c>
      <c r="E144" s="746"/>
      <c r="F144" s="746"/>
      <c r="G144" s="749"/>
      <c r="H144" s="151"/>
      <c r="I144" s="159">
        <f ca="1">OFFSET(Cost_Ingredients!$M$117,D144,0)</f>
        <v>0</v>
      </c>
      <c r="J144" s="64">
        <v>0</v>
      </c>
      <c r="L144" s="162">
        <f ca="1">OFFSET(Cost_Ingredients!$N$117,D144,0)*J144</f>
        <v>0</v>
      </c>
      <c r="M144" s="162">
        <f ca="1">OFFSET(Cost_Ingredients!$O$117,D144,0)*J144</f>
        <v>0</v>
      </c>
      <c r="N144" s="163">
        <f ca="1">L144/Cost_Ingredients!$J$21</f>
        <v>0</v>
      </c>
      <c r="O144" s="163">
        <f ca="1">M144/Cost_Ingredients!$J$21</f>
        <v>0</v>
      </c>
      <c r="P144" s="151"/>
    </row>
    <row r="145" spans="3:16" s="23" customFormat="1" outlineLevel="1">
      <c r="D145" s="746">
        <v>1</v>
      </c>
      <c r="E145" s="746"/>
      <c r="F145" s="746"/>
      <c r="G145" s="749"/>
      <c r="H145" s="151"/>
      <c r="I145" s="159">
        <f ca="1">OFFSET(Cost_Ingredients!$M$117,D145,0)</f>
        <v>0</v>
      </c>
      <c r="J145" s="64">
        <v>0</v>
      </c>
      <c r="L145" s="162">
        <f ca="1">OFFSET(Cost_Ingredients!$N$117,D145,0)*J145</f>
        <v>0</v>
      </c>
      <c r="M145" s="162">
        <f ca="1">OFFSET(Cost_Ingredients!$O$117,D145,0)*J145</f>
        <v>0</v>
      </c>
      <c r="N145" s="163">
        <f ca="1">L145/Cost_Ingredients!$J$21</f>
        <v>0</v>
      </c>
      <c r="O145" s="163">
        <f ca="1">M145/Cost_Ingredients!$J$21</f>
        <v>0</v>
      </c>
      <c r="P145" s="151"/>
    </row>
    <row r="146" spans="3:16" s="23" customFormat="1" outlineLevel="1">
      <c r="D146" s="746">
        <v>1</v>
      </c>
      <c r="E146" s="746"/>
      <c r="F146" s="746"/>
      <c r="G146" s="749"/>
      <c r="H146" s="151"/>
      <c r="I146" s="159">
        <f ca="1">OFFSET(Cost_Ingredients!$M$117,D146,0)</f>
        <v>0</v>
      </c>
      <c r="J146" s="64">
        <v>0</v>
      </c>
      <c r="L146" s="162">
        <f ca="1">OFFSET(Cost_Ingredients!$N$117,D146,0)*J146</f>
        <v>0</v>
      </c>
      <c r="M146" s="162">
        <f ca="1">OFFSET(Cost_Ingredients!$O$117,D146,0)*J146</f>
        <v>0</v>
      </c>
      <c r="N146" s="163">
        <f ca="1">L146/Cost_Ingredients!$J$21</f>
        <v>0</v>
      </c>
      <c r="O146" s="163">
        <f ca="1">M146/Cost_Ingredients!$J$21</f>
        <v>0</v>
      </c>
      <c r="P146" s="151"/>
    </row>
    <row r="147" spans="3:16" s="23" customFormat="1" outlineLevel="1">
      <c r="D147" s="746">
        <v>1</v>
      </c>
      <c r="E147" s="746"/>
      <c r="F147" s="746"/>
      <c r="G147" s="749"/>
      <c r="H147" s="172"/>
      <c r="I147" s="159">
        <f ca="1">OFFSET(Cost_Ingredients!$M$117,D147,0)</f>
        <v>0</v>
      </c>
      <c r="J147" s="173">
        <v>0</v>
      </c>
      <c r="L147" s="162">
        <f ca="1">OFFSET(Cost_Ingredients!$N$117,D147,0)*J147</f>
        <v>0</v>
      </c>
      <c r="M147" s="162">
        <f ca="1">OFFSET(Cost_Ingredients!$O$117,D147,0)*J147</f>
        <v>0</v>
      </c>
      <c r="N147" s="163">
        <f ca="1">L147/Cost_Ingredients!$J$21</f>
        <v>0</v>
      </c>
      <c r="O147" s="163">
        <f ca="1">M147/Cost_Ingredients!$J$21</f>
        <v>0</v>
      </c>
      <c r="P147" s="172"/>
    </row>
    <row r="148" spans="3:16" s="23" customFormat="1">
      <c r="D148" s="754" t="str">
        <f>"Subtotal - "&amp;C131</f>
        <v>Subtotal - Supplies &amp; Materials</v>
      </c>
      <c r="E148" s="754"/>
      <c r="F148" s="754"/>
      <c r="G148" s="754"/>
      <c r="H148" s="156"/>
      <c r="I148" s="156"/>
      <c r="J148" s="69"/>
      <c r="L148" s="255">
        <f ca="1">SUM(L133:L147)</f>
        <v>0</v>
      </c>
      <c r="M148" s="255">
        <f ca="1">SUM(M133:M147)</f>
        <v>12</v>
      </c>
      <c r="N148" s="258">
        <f ca="1">SUM(N133:N147)</f>
        <v>0</v>
      </c>
      <c r="O148" s="258">
        <f ca="1">SUM(O133:O147)</f>
        <v>0.08</v>
      </c>
      <c r="P148" s="156"/>
    </row>
    <row r="149" spans="3:16">
      <c r="L149" s="23"/>
      <c r="M149" s="23"/>
      <c r="N149" s="23"/>
      <c r="O149" s="23"/>
    </row>
    <row r="150" spans="3:16">
      <c r="C150" s="160" t="str">
        <f>FLU_LU!$D$281</f>
        <v>Other Direct Costs (Recurrent)</v>
      </c>
    </row>
    <row r="151" spans="3:16" ht="28.8" outlineLevel="1">
      <c r="C151" s="23"/>
      <c r="D151" s="733" t="s">
        <v>100</v>
      </c>
      <c r="E151" s="733"/>
      <c r="F151" s="733"/>
      <c r="G151" s="733"/>
      <c r="H151" s="142" t="s">
        <v>274</v>
      </c>
      <c r="I151" s="72" t="s">
        <v>275</v>
      </c>
      <c r="J151" s="152" t="s">
        <v>67</v>
      </c>
      <c r="L151" s="28" t="str">
        <f>"Financial Price ("&amp;FLU_LU!$D$79&amp;")"</f>
        <v>Financial Price (GOZ)</v>
      </c>
      <c r="M151" s="28" t="str">
        <f>"Economic Price ("&amp;FLU_LU!$D$79&amp;")"</f>
        <v>Economic Price (GOZ)</v>
      </c>
      <c r="N151" s="28" t="str">
        <f>"Financial Price ("&amp;FLU_LU!$D$78&amp;")"</f>
        <v>Financial Price (USD)</v>
      </c>
      <c r="O151" s="28" t="str">
        <f>"Economic Price ("&amp;FLU_LU!$D$78&amp;")"</f>
        <v>Economic Price (USD)</v>
      </c>
      <c r="P151" s="152" t="s">
        <v>68</v>
      </c>
    </row>
    <row r="152" spans="3:16" s="23" customFormat="1" outlineLevel="1">
      <c r="D152" s="746">
        <v>1</v>
      </c>
      <c r="E152" s="746"/>
      <c r="F152" s="746"/>
      <c r="G152" s="749"/>
      <c r="H152" s="151"/>
      <c r="I152" s="159">
        <f ca="1">OFFSET(Cost_Ingredients!$M$146,D152,0)</f>
        <v>0</v>
      </c>
      <c r="J152" s="64"/>
      <c r="L152" s="162">
        <f ca="1">OFFSET(Cost_Ingredients!$N$146,D152,0)*J152</f>
        <v>0</v>
      </c>
      <c r="M152" s="162">
        <f ca="1">OFFSET(Cost_Ingredients!$O$146,D152,0)*J152</f>
        <v>0</v>
      </c>
      <c r="N152" s="163">
        <f ca="1">L152/Cost_Ingredients!$J$21</f>
        <v>0</v>
      </c>
      <c r="O152" s="163">
        <f ca="1">M152/Cost_Ingredients!$J$21</f>
        <v>0</v>
      </c>
      <c r="P152" s="151"/>
    </row>
    <row r="153" spans="3:16" s="23" customFormat="1" outlineLevel="1">
      <c r="D153" s="746">
        <v>1</v>
      </c>
      <c r="E153" s="746"/>
      <c r="F153" s="746"/>
      <c r="G153" s="749"/>
      <c r="H153" s="151"/>
      <c r="I153" s="159">
        <f ca="1">OFFSET(Cost_Ingredients!$M$146,D153,0)</f>
        <v>0</v>
      </c>
      <c r="J153" s="64">
        <v>0</v>
      </c>
      <c r="L153" s="162">
        <f ca="1">OFFSET(Cost_Ingredients!$N$146,D153,0)*J153</f>
        <v>0</v>
      </c>
      <c r="M153" s="162">
        <f ca="1">OFFSET(Cost_Ingredients!$O$146,D153,0)*J153</f>
        <v>0</v>
      </c>
      <c r="N153" s="163">
        <f ca="1">L153/Cost_Ingredients!$J$21</f>
        <v>0</v>
      </c>
      <c r="O153" s="163">
        <f ca="1">M153/Cost_Ingredients!$J$21</f>
        <v>0</v>
      </c>
      <c r="P153" s="151"/>
    </row>
    <row r="154" spans="3:16" s="23" customFormat="1" outlineLevel="1">
      <c r="D154" s="746">
        <v>1</v>
      </c>
      <c r="E154" s="746"/>
      <c r="F154" s="746"/>
      <c r="G154" s="749"/>
      <c r="H154" s="151"/>
      <c r="I154" s="159">
        <f ca="1">OFFSET(Cost_Ingredients!$M$146,D154,0)</f>
        <v>0</v>
      </c>
      <c r="J154" s="64">
        <v>0</v>
      </c>
      <c r="L154" s="162">
        <f ca="1">OFFSET(Cost_Ingredients!$N$146,D154,0)*J154</f>
        <v>0</v>
      </c>
      <c r="M154" s="162">
        <f ca="1">OFFSET(Cost_Ingredients!$O$146,D154,0)*J154</f>
        <v>0</v>
      </c>
      <c r="N154" s="163">
        <f ca="1">L154/Cost_Ingredients!$J$21</f>
        <v>0</v>
      </c>
      <c r="O154" s="163">
        <f ca="1">M154/Cost_Ingredients!$J$21</f>
        <v>0</v>
      </c>
      <c r="P154" s="151"/>
    </row>
    <row r="155" spans="3:16" s="23" customFormat="1" outlineLevel="1">
      <c r="D155" s="746">
        <v>1</v>
      </c>
      <c r="E155" s="746"/>
      <c r="F155" s="746"/>
      <c r="G155" s="749"/>
      <c r="H155" s="151"/>
      <c r="I155" s="159">
        <f ca="1">OFFSET(Cost_Ingredients!$M$146,D155,0)</f>
        <v>0</v>
      </c>
      <c r="J155" s="64">
        <v>0</v>
      </c>
      <c r="L155" s="162">
        <f ca="1">OFFSET(Cost_Ingredients!$N$146,D155,0)*J155</f>
        <v>0</v>
      </c>
      <c r="M155" s="162">
        <f ca="1">OFFSET(Cost_Ingredients!$O$146,D155,0)*J155</f>
        <v>0</v>
      </c>
      <c r="N155" s="163">
        <f ca="1">L155/Cost_Ingredients!$J$21</f>
        <v>0</v>
      </c>
      <c r="O155" s="163">
        <f ca="1">M155/Cost_Ingredients!$J$21</f>
        <v>0</v>
      </c>
      <c r="P155" s="151"/>
    </row>
    <row r="156" spans="3:16" s="23" customFormat="1" outlineLevel="1">
      <c r="D156" s="746">
        <v>1</v>
      </c>
      <c r="E156" s="746"/>
      <c r="F156" s="746"/>
      <c r="G156" s="749"/>
      <c r="H156" s="151"/>
      <c r="I156" s="159">
        <f ca="1">OFFSET(Cost_Ingredients!$M$146,D156,0)</f>
        <v>0</v>
      </c>
      <c r="J156" s="64">
        <v>0</v>
      </c>
      <c r="L156" s="162">
        <f ca="1">OFFSET(Cost_Ingredients!$N$146,D156,0)*J156</f>
        <v>0</v>
      </c>
      <c r="M156" s="162">
        <f ca="1">OFFSET(Cost_Ingredients!$O$146,D156,0)*J156</f>
        <v>0</v>
      </c>
      <c r="N156" s="163">
        <f ca="1">L156/Cost_Ingredients!$J$21</f>
        <v>0</v>
      </c>
      <c r="O156" s="163">
        <f ca="1">M156/Cost_Ingredients!$J$21</f>
        <v>0</v>
      </c>
      <c r="P156" s="151"/>
    </row>
    <row r="157" spans="3:16" s="23" customFormat="1" outlineLevel="1">
      <c r="D157" s="746">
        <v>1</v>
      </c>
      <c r="E157" s="746"/>
      <c r="F157" s="746"/>
      <c r="G157" s="749"/>
      <c r="H157" s="151"/>
      <c r="I157" s="159">
        <f ca="1">OFFSET(Cost_Ingredients!$M$146,D157,0)</f>
        <v>0</v>
      </c>
      <c r="J157" s="64">
        <v>0</v>
      </c>
      <c r="L157" s="162">
        <f ca="1">OFFSET(Cost_Ingredients!$N$146,D157,0)*J157</f>
        <v>0</v>
      </c>
      <c r="M157" s="162">
        <f ca="1">OFFSET(Cost_Ingredients!$O$146,D157,0)*J157</f>
        <v>0</v>
      </c>
      <c r="N157" s="163">
        <f ca="1">L157/Cost_Ingredients!$J$21</f>
        <v>0</v>
      </c>
      <c r="O157" s="163">
        <f ca="1">M157/Cost_Ingredients!$J$21</f>
        <v>0</v>
      </c>
      <c r="P157" s="151"/>
    </row>
    <row r="158" spans="3:16" s="23" customFormat="1" outlineLevel="1">
      <c r="D158" s="746">
        <v>1</v>
      </c>
      <c r="E158" s="746"/>
      <c r="F158" s="746"/>
      <c r="G158" s="749"/>
      <c r="H158" s="151"/>
      <c r="I158" s="159">
        <f ca="1">OFFSET(Cost_Ingredients!$M$146,D158,0)</f>
        <v>0</v>
      </c>
      <c r="J158" s="64">
        <v>0</v>
      </c>
      <c r="L158" s="162">
        <f ca="1">OFFSET(Cost_Ingredients!$N$146,D158,0)*J158</f>
        <v>0</v>
      </c>
      <c r="M158" s="162">
        <f ca="1">OFFSET(Cost_Ingredients!$O$146,D158,0)*J158</f>
        <v>0</v>
      </c>
      <c r="N158" s="163">
        <f ca="1">L158/Cost_Ingredients!$J$21</f>
        <v>0</v>
      </c>
      <c r="O158" s="163">
        <f ca="1">M158/Cost_Ingredients!$J$21</f>
        <v>0</v>
      </c>
      <c r="P158" s="151"/>
    </row>
    <row r="159" spans="3:16" s="23" customFormat="1" outlineLevel="1">
      <c r="D159" s="746">
        <v>1</v>
      </c>
      <c r="E159" s="746"/>
      <c r="F159" s="746"/>
      <c r="G159" s="749"/>
      <c r="H159" s="151"/>
      <c r="I159" s="159">
        <f ca="1">OFFSET(Cost_Ingredients!$M$146,D159,0)</f>
        <v>0</v>
      </c>
      <c r="J159" s="64">
        <v>0</v>
      </c>
      <c r="L159" s="162">
        <f ca="1">OFFSET(Cost_Ingredients!$N$146,D159,0)*J159</f>
        <v>0</v>
      </c>
      <c r="M159" s="162">
        <f ca="1">OFFSET(Cost_Ingredients!$O$146,D159,0)*J159</f>
        <v>0</v>
      </c>
      <c r="N159" s="163">
        <f ca="1">L159/Cost_Ingredients!$J$21</f>
        <v>0</v>
      </c>
      <c r="O159" s="163">
        <f ca="1">M159/Cost_Ingredients!$J$21</f>
        <v>0</v>
      </c>
      <c r="P159" s="151"/>
    </row>
    <row r="160" spans="3:16" s="23" customFormat="1" outlineLevel="1">
      <c r="D160" s="746">
        <v>1</v>
      </c>
      <c r="E160" s="746"/>
      <c r="F160" s="746"/>
      <c r="G160" s="749"/>
      <c r="H160" s="151"/>
      <c r="I160" s="159">
        <f ca="1">OFFSET(Cost_Ingredients!$M$146,D160,0)</f>
        <v>0</v>
      </c>
      <c r="J160" s="64">
        <v>0</v>
      </c>
      <c r="L160" s="162">
        <f ca="1">OFFSET(Cost_Ingredients!$N$146,D160,0)*J160</f>
        <v>0</v>
      </c>
      <c r="M160" s="162">
        <f ca="1">OFFSET(Cost_Ingredients!$O$146,D160,0)*J160</f>
        <v>0</v>
      </c>
      <c r="N160" s="163">
        <f ca="1">L160/Cost_Ingredients!$J$21</f>
        <v>0</v>
      </c>
      <c r="O160" s="163">
        <f ca="1">M160/Cost_Ingredients!$J$21</f>
        <v>0</v>
      </c>
      <c r="P160" s="151"/>
    </row>
    <row r="161" spans="3:16" s="23" customFormat="1" outlineLevel="1">
      <c r="D161" s="746">
        <v>1</v>
      </c>
      <c r="E161" s="746"/>
      <c r="F161" s="746"/>
      <c r="G161" s="749"/>
      <c r="H161" s="151"/>
      <c r="I161" s="159">
        <f ca="1">OFFSET(Cost_Ingredients!$M$146,D161,0)</f>
        <v>0</v>
      </c>
      <c r="J161" s="64">
        <v>0</v>
      </c>
      <c r="L161" s="162">
        <f ca="1">OFFSET(Cost_Ingredients!$N$146,D161,0)*J161</f>
        <v>0</v>
      </c>
      <c r="M161" s="162">
        <f ca="1">OFFSET(Cost_Ingredients!$O$146,D161,0)*J161</f>
        <v>0</v>
      </c>
      <c r="N161" s="163">
        <f ca="1">L161/Cost_Ingredients!$J$21</f>
        <v>0</v>
      </c>
      <c r="O161" s="163">
        <f ca="1">M161/Cost_Ingredients!$J$21</f>
        <v>0</v>
      </c>
      <c r="P161" s="151"/>
    </row>
    <row r="162" spans="3:16" s="23" customFormat="1" outlineLevel="1">
      <c r="D162" s="746">
        <v>1</v>
      </c>
      <c r="E162" s="746"/>
      <c r="F162" s="746"/>
      <c r="G162" s="749"/>
      <c r="H162" s="151"/>
      <c r="I162" s="159">
        <f ca="1">OFFSET(Cost_Ingredients!$M$146,D162,0)</f>
        <v>0</v>
      </c>
      <c r="J162" s="64">
        <v>0</v>
      </c>
      <c r="L162" s="162">
        <f ca="1">OFFSET(Cost_Ingredients!$N$146,D162,0)*J162</f>
        <v>0</v>
      </c>
      <c r="M162" s="162">
        <f ca="1">OFFSET(Cost_Ingredients!$O$146,D162,0)*J162</f>
        <v>0</v>
      </c>
      <c r="N162" s="163">
        <f ca="1">L162/Cost_Ingredients!$J$21</f>
        <v>0</v>
      </c>
      <c r="O162" s="163">
        <f ca="1">M162/Cost_Ingredients!$J$21</f>
        <v>0</v>
      </c>
      <c r="P162" s="151"/>
    </row>
    <row r="163" spans="3:16" s="23" customFormat="1" outlineLevel="1">
      <c r="D163" s="746">
        <v>1</v>
      </c>
      <c r="E163" s="746"/>
      <c r="F163" s="746"/>
      <c r="G163" s="749"/>
      <c r="H163" s="151"/>
      <c r="I163" s="159">
        <f ca="1">OFFSET(Cost_Ingredients!$M$146,D163,0)</f>
        <v>0</v>
      </c>
      <c r="J163" s="64">
        <v>0</v>
      </c>
      <c r="L163" s="162">
        <f ca="1">OFFSET(Cost_Ingredients!$N$146,D163,0)*J163</f>
        <v>0</v>
      </c>
      <c r="M163" s="162">
        <f ca="1">OFFSET(Cost_Ingredients!$O$146,D163,0)*J163</f>
        <v>0</v>
      </c>
      <c r="N163" s="163">
        <f ca="1">L163/Cost_Ingredients!$J$21</f>
        <v>0</v>
      </c>
      <c r="O163" s="163">
        <f ca="1">M163/Cost_Ingredients!$J$21</f>
        <v>0</v>
      </c>
      <c r="P163" s="151"/>
    </row>
    <row r="164" spans="3:16" s="23" customFormat="1" outlineLevel="1">
      <c r="D164" s="746">
        <v>1</v>
      </c>
      <c r="E164" s="746"/>
      <c r="F164" s="746"/>
      <c r="G164" s="749"/>
      <c r="H164" s="151"/>
      <c r="I164" s="159">
        <f ca="1">OFFSET(Cost_Ingredients!$M$146,D164,0)</f>
        <v>0</v>
      </c>
      <c r="J164" s="64">
        <v>0</v>
      </c>
      <c r="L164" s="162">
        <f ca="1">OFFSET(Cost_Ingredients!$N$146,D164,0)*J164</f>
        <v>0</v>
      </c>
      <c r="M164" s="162">
        <f ca="1">OFFSET(Cost_Ingredients!$O$146,D164,0)*J164</f>
        <v>0</v>
      </c>
      <c r="N164" s="163">
        <f ca="1">L164/Cost_Ingredients!$J$21</f>
        <v>0</v>
      </c>
      <c r="O164" s="163">
        <f ca="1">M164/Cost_Ingredients!$J$21</f>
        <v>0</v>
      </c>
      <c r="P164" s="151"/>
    </row>
    <row r="165" spans="3:16" s="23" customFormat="1" outlineLevel="1">
      <c r="D165" s="746">
        <v>1</v>
      </c>
      <c r="E165" s="746"/>
      <c r="F165" s="746"/>
      <c r="G165" s="749"/>
      <c r="H165" s="151"/>
      <c r="I165" s="159">
        <f ca="1">OFFSET(Cost_Ingredients!$M$146,D165,0)</f>
        <v>0</v>
      </c>
      <c r="J165" s="64">
        <v>0</v>
      </c>
      <c r="L165" s="162">
        <f ca="1">OFFSET(Cost_Ingredients!$N$146,D165,0)*J165</f>
        <v>0</v>
      </c>
      <c r="M165" s="162">
        <f ca="1">OFFSET(Cost_Ingredients!$O$146,D165,0)*J165</f>
        <v>0</v>
      </c>
      <c r="N165" s="163">
        <f ca="1">L165/Cost_Ingredients!$J$21</f>
        <v>0</v>
      </c>
      <c r="O165" s="163">
        <f ca="1">M165/Cost_Ingredients!$J$21</f>
        <v>0</v>
      </c>
      <c r="P165" s="151"/>
    </row>
    <row r="166" spans="3:16" s="23" customFormat="1" outlineLevel="1">
      <c r="D166" s="746">
        <v>1</v>
      </c>
      <c r="E166" s="746"/>
      <c r="F166" s="746"/>
      <c r="G166" s="749"/>
      <c r="H166" s="172"/>
      <c r="I166" s="159">
        <f ca="1">OFFSET(Cost_Ingredients!$M$146,D166,0)</f>
        <v>0</v>
      </c>
      <c r="J166" s="173">
        <v>0</v>
      </c>
      <c r="L166" s="162">
        <f ca="1">OFFSET(Cost_Ingredients!$N$146,D166,0)*J166</f>
        <v>0</v>
      </c>
      <c r="M166" s="162">
        <f ca="1">OFFSET(Cost_Ingredients!$O$146,D166,0)*J166</f>
        <v>0</v>
      </c>
      <c r="N166" s="163">
        <f ca="1">L166/Cost_Ingredients!$J$21</f>
        <v>0</v>
      </c>
      <c r="O166" s="163">
        <f ca="1">M166/Cost_Ingredients!$J$21</f>
        <v>0</v>
      </c>
      <c r="P166" s="172"/>
    </row>
    <row r="167" spans="3:16" s="23" customFormat="1">
      <c r="D167" s="754" t="str">
        <f>"Subtotal - "&amp;C150</f>
        <v>Subtotal - Other Direct Costs (Recurrent)</v>
      </c>
      <c r="E167" s="754"/>
      <c r="F167" s="754"/>
      <c r="G167" s="754"/>
      <c r="H167" s="156"/>
      <c r="I167" s="156"/>
      <c r="J167" s="69"/>
      <c r="L167" s="255">
        <f ca="1">SUM(L152:L166)</f>
        <v>0</v>
      </c>
      <c r="M167" s="255">
        <f ca="1">SUM(M152:M166)</f>
        <v>0</v>
      </c>
      <c r="N167" s="258">
        <f ca="1">SUM(N152:N166)</f>
        <v>0</v>
      </c>
      <c r="O167" s="258">
        <f ca="1">SUM(O152:O166)</f>
        <v>0</v>
      </c>
      <c r="P167" s="156"/>
    </row>
    <row r="168" spans="3:16">
      <c r="L168" s="23"/>
      <c r="M168" s="23"/>
      <c r="N168" s="23"/>
      <c r="O168" s="23"/>
    </row>
    <row r="169" spans="3:16" ht="15" thickBot="1">
      <c r="C169" s="70" t="str">
        <f>C91&amp;" -Cost per Activity"</f>
        <v>Detailed Cost Estimate: Routine Immunization by an Home Visit Nurse -Cost per Activity</v>
      </c>
      <c r="L169" s="191">
        <f ca="1">SUM(L110,L129,L148,L167)</f>
        <v>0</v>
      </c>
      <c r="M169" s="191">
        <f ca="1">SUM(M110,M129,M148,M167)</f>
        <v>41.83806818181818</v>
      </c>
      <c r="N169" s="262">
        <f ca="1">SUM(N110,N129,N148,N167)</f>
        <v>0</v>
      </c>
      <c r="O169" s="262">
        <f ca="1">SUM(O110,O129,O148,O167)</f>
        <v>0.27892045454545455</v>
      </c>
    </row>
    <row r="170" spans="3:16" s="23" customFormat="1" ht="15.6" thickTop="1" thickBot="1">
      <c r="C170" s="55"/>
      <c r="D170" s="55"/>
      <c r="E170" s="55"/>
      <c r="F170" s="55"/>
      <c r="G170" s="55"/>
      <c r="H170" s="55"/>
      <c r="I170" s="55"/>
      <c r="J170" s="55"/>
      <c r="K170" s="55"/>
      <c r="L170" s="55"/>
      <c r="M170" s="55"/>
      <c r="N170" s="55"/>
      <c r="O170" s="55"/>
      <c r="P170" s="55"/>
    </row>
    <row r="171" spans="3:16" s="23" customFormat="1"/>
    <row r="173" spans="3:16" s="23" customFormat="1" ht="15.6">
      <c r="C173" s="171" t="str">
        <f>"Detailed Cost Estimate: "&amp;FLU_LU!$D$350</f>
        <v>Detailed Cost Estimate: Routine Immunization by a Satellite Outreach Nurse</v>
      </c>
    </row>
    <row r="176" spans="3:16">
      <c r="C176" s="160" t="str">
        <f>FLU_LU!$D$278</f>
        <v xml:space="preserve">Personnel </v>
      </c>
    </row>
    <row r="177" spans="4:16" ht="43.2" outlineLevel="1">
      <c r="D177" s="733" t="s">
        <v>100</v>
      </c>
      <c r="E177" s="733"/>
      <c r="F177" s="733"/>
      <c r="G177" s="733"/>
      <c r="H177" s="142" t="s">
        <v>274</v>
      </c>
      <c r="I177" s="72" t="s">
        <v>474</v>
      </c>
      <c r="J177" s="152" t="s">
        <v>67</v>
      </c>
      <c r="K177" s="72" t="s">
        <v>475</v>
      </c>
      <c r="L177" s="28" t="str">
        <f>"Financial Price ("&amp;FLU_LU!$D$79&amp;")"</f>
        <v>Financial Price (GOZ)</v>
      </c>
      <c r="M177" s="28" t="str">
        <f>"Economic Price ("&amp;FLU_LU!$D$79&amp;")"</f>
        <v>Economic Price (GOZ)</v>
      </c>
      <c r="N177" s="28" t="str">
        <f>"Financial Price ("&amp;FLU_LU!$D$78&amp;")"</f>
        <v>Financial Price (USD)</v>
      </c>
      <c r="O177" s="28" t="str">
        <f>"Economic Price ("&amp;FLU_LU!$D$78&amp;")"</f>
        <v>Economic Price (USD)</v>
      </c>
      <c r="P177" s="152" t="s">
        <v>68</v>
      </c>
    </row>
    <row r="178" spans="4:16" s="23" customFormat="1" outlineLevel="1">
      <c r="D178" s="746">
        <v>19</v>
      </c>
      <c r="E178" s="746"/>
      <c r="F178" s="746"/>
      <c r="G178" s="749"/>
      <c r="H178" s="151" t="s">
        <v>493</v>
      </c>
      <c r="I178" s="31">
        <v>3</v>
      </c>
      <c r="J178" s="64">
        <v>3</v>
      </c>
      <c r="K178" s="135">
        <f t="shared" ref="K178:K192" si="2">IF(I178=1,J178/FLU_DAYS_PER_MONTH,IF(I178=2,J178/FLU_HOURS_PER_MONTH,J178/FLU_MINUTES_PER_MONTH))</f>
        <v>2.8409090909090908E-4</v>
      </c>
      <c r="L178" s="162">
        <f ca="1">OFFSET(Cost_Ingredients!$N$73,D178,0)*K178</f>
        <v>0</v>
      </c>
      <c r="M178" s="162">
        <f ca="1">OFFSET(Cost_Ingredients!$O$73,D178,0)*K178</f>
        <v>14.91903409090909</v>
      </c>
      <c r="N178" s="179">
        <f ca="1">L178/Cost_Ingredients!$J$21</f>
        <v>0</v>
      </c>
      <c r="O178" s="179">
        <f ca="1">M178/Cost_Ingredients!$J$21</f>
        <v>9.946022727272727E-2</v>
      </c>
      <c r="P178" s="151"/>
    </row>
    <row r="179" spans="4:16" s="23" customFormat="1" outlineLevel="1">
      <c r="D179" s="746">
        <v>19</v>
      </c>
      <c r="E179" s="746"/>
      <c r="F179" s="746"/>
      <c r="G179" s="749"/>
      <c r="H179" s="151" t="s">
        <v>494</v>
      </c>
      <c r="I179" s="31">
        <v>3</v>
      </c>
      <c r="J179" s="64">
        <v>3</v>
      </c>
      <c r="K179" s="135">
        <f t="shared" si="2"/>
        <v>2.8409090909090908E-4</v>
      </c>
      <c r="L179" s="162">
        <f ca="1">OFFSET(Cost_Ingredients!$N$73,D179,0)*K179</f>
        <v>0</v>
      </c>
      <c r="M179" s="162">
        <f ca="1">OFFSET(Cost_Ingredients!$O$73,D179,0)*K179</f>
        <v>14.91903409090909</v>
      </c>
      <c r="N179" s="179">
        <f ca="1">L179/Cost_Ingredients!$J$21</f>
        <v>0</v>
      </c>
      <c r="O179" s="179">
        <f ca="1">M179/Cost_Ingredients!$J$21</f>
        <v>9.946022727272727E-2</v>
      </c>
      <c r="P179" s="151"/>
    </row>
    <row r="180" spans="4:16" s="23" customFormat="1" outlineLevel="1">
      <c r="D180" s="746">
        <v>1</v>
      </c>
      <c r="E180" s="746"/>
      <c r="F180" s="746"/>
      <c r="G180" s="749"/>
      <c r="H180" s="151"/>
      <c r="I180" s="31">
        <v>1</v>
      </c>
      <c r="J180" s="64"/>
      <c r="K180" s="135">
        <f t="shared" si="2"/>
        <v>0</v>
      </c>
      <c r="L180" s="162">
        <f ca="1">OFFSET(Cost_Ingredients!$N$73,D180,0)*K180</f>
        <v>0</v>
      </c>
      <c r="M180" s="162">
        <f ca="1">OFFSET(Cost_Ingredients!$O$73,D180,0)*K180</f>
        <v>0</v>
      </c>
      <c r="N180" s="179">
        <f ca="1">L180/Cost_Ingredients!$J$21</f>
        <v>0</v>
      </c>
      <c r="O180" s="179">
        <f ca="1">M180/Cost_Ingredients!$J$21</f>
        <v>0</v>
      </c>
      <c r="P180" s="151"/>
    </row>
    <row r="181" spans="4:16" s="23" customFormat="1" outlineLevel="1">
      <c r="D181" s="746">
        <v>1</v>
      </c>
      <c r="E181" s="746"/>
      <c r="F181" s="746"/>
      <c r="G181" s="749"/>
      <c r="H181" s="151"/>
      <c r="I181" s="31">
        <v>1</v>
      </c>
      <c r="J181" s="64"/>
      <c r="K181" s="135">
        <f t="shared" si="2"/>
        <v>0</v>
      </c>
      <c r="L181" s="162">
        <f ca="1">OFFSET(Cost_Ingredients!$N$73,D181,0)*K181</f>
        <v>0</v>
      </c>
      <c r="M181" s="162">
        <f ca="1">OFFSET(Cost_Ingredients!$O$73,D181,0)*K181</f>
        <v>0</v>
      </c>
      <c r="N181" s="179">
        <f ca="1">L181/Cost_Ingredients!$J$21</f>
        <v>0</v>
      </c>
      <c r="O181" s="179">
        <f ca="1">M181/Cost_Ingredients!$J$21</f>
        <v>0</v>
      </c>
      <c r="P181" s="151"/>
    </row>
    <row r="182" spans="4:16" s="23" customFormat="1" outlineLevel="1">
      <c r="D182" s="746">
        <v>1</v>
      </c>
      <c r="E182" s="746"/>
      <c r="F182" s="746"/>
      <c r="G182" s="749"/>
      <c r="H182" s="151"/>
      <c r="I182" s="31">
        <v>1</v>
      </c>
      <c r="J182" s="64"/>
      <c r="K182" s="135">
        <f t="shared" si="2"/>
        <v>0</v>
      </c>
      <c r="L182" s="162">
        <f ca="1">OFFSET(Cost_Ingredients!$N$73,D182,0)*K182</f>
        <v>0</v>
      </c>
      <c r="M182" s="162">
        <f ca="1">OFFSET(Cost_Ingredients!$O$73,D182,0)*K182</f>
        <v>0</v>
      </c>
      <c r="N182" s="179">
        <f ca="1">L182/Cost_Ingredients!$J$21</f>
        <v>0</v>
      </c>
      <c r="O182" s="179">
        <f ca="1">M182/Cost_Ingredients!$J$21</f>
        <v>0</v>
      </c>
      <c r="P182" s="151"/>
    </row>
    <row r="183" spans="4:16" s="23" customFormat="1" outlineLevel="1">
      <c r="D183" s="746">
        <v>1</v>
      </c>
      <c r="E183" s="746"/>
      <c r="F183" s="746"/>
      <c r="G183" s="749"/>
      <c r="H183" s="151"/>
      <c r="I183" s="31">
        <v>1</v>
      </c>
      <c r="J183" s="64"/>
      <c r="K183" s="135">
        <f t="shared" si="2"/>
        <v>0</v>
      </c>
      <c r="L183" s="162">
        <f ca="1">OFFSET(Cost_Ingredients!$N$73,D183,0)*K183</f>
        <v>0</v>
      </c>
      <c r="M183" s="162">
        <f ca="1">OFFSET(Cost_Ingredients!$O$73,D183,0)*K183</f>
        <v>0</v>
      </c>
      <c r="N183" s="179">
        <f ca="1">L183/Cost_Ingredients!$J$21</f>
        <v>0</v>
      </c>
      <c r="O183" s="179">
        <f ca="1">M183/Cost_Ingredients!$J$21</f>
        <v>0</v>
      </c>
      <c r="P183" s="151"/>
    </row>
    <row r="184" spans="4:16" s="23" customFormat="1" outlineLevel="1">
      <c r="D184" s="746">
        <v>1</v>
      </c>
      <c r="E184" s="746"/>
      <c r="F184" s="746"/>
      <c r="G184" s="749"/>
      <c r="H184" s="151"/>
      <c r="I184" s="31">
        <v>1</v>
      </c>
      <c r="J184" s="64"/>
      <c r="K184" s="135">
        <f t="shared" si="2"/>
        <v>0</v>
      </c>
      <c r="L184" s="162">
        <f ca="1">OFFSET(Cost_Ingredients!$N$73,D184,0)*K184</f>
        <v>0</v>
      </c>
      <c r="M184" s="162">
        <f ca="1">OFFSET(Cost_Ingredients!$O$73,D184,0)*K184</f>
        <v>0</v>
      </c>
      <c r="N184" s="179">
        <f ca="1">L184/Cost_Ingredients!$J$21</f>
        <v>0</v>
      </c>
      <c r="O184" s="179">
        <f ca="1">M184/Cost_Ingredients!$J$21</f>
        <v>0</v>
      </c>
      <c r="P184" s="151"/>
    </row>
    <row r="185" spans="4:16" s="23" customFormat="1" outlineLevel="1">
      <c r="D185" s="746">
        <v>1</v>
      </c>
      <c r="E185" s="746"/>
      <c r="F185" s="746"/>
      <c r="G185" s="749"/>
      <c r="H185" s="151"/>
      <c r="I185" s="31">
        <v>1</v>
      </c>
      <c r="J185" s="64">
        <v>0</v>
      </c>
      <c r="K185" s="135">
        <f t="shared" si="2"/>
        <v>0</v>
      </c>
      <c r="L185" s="162">
        <f ca="1">OFFSET(Cost_Ingredients!$N$73,D185,0)*K185</f>
        <v>0</v>
      </c>
      <c r="M185" s="162">
        <f ca="1">OFFSET(Cost_Ingredients!$O$73,D185,0)*K185</f>
        <v>0</v>
      </c>
      <c r="N185" s="179">
        <f ca="1">L185/Cost_Ingredients!$J$21</f>
        <v>0</v>
      </c>
      <c r="O185" s="179">
        <f ca="1">M185/Cost_Ingredients!$J$21</f>
        <v>0</v>
      </c>
      <c r="P185" s="151"/>
    </row>
    <row r="186" spans="4:16" s="23" customFormat="1" outlineLevel="1">
      <c r="D186" s="746">
        <v>1</v>
      </c>
      <c r="E186" s="746"/>
      <c r="F186" s="746"/>
      <c r="G186" s="749"/>
      <c r="H186" s="151"/>
      <c r="I186" s="31">
        <v>1</v>
      </c>
      <c r="J186" s="64">
        <v>0</v>
      </c>
      <c r="K186" s="135">
        <f t="shared" si="2"/>
        <v>0</v>
      </c>
      <c r="L186" s="162">
        <f ca="1">OFFSET(Cost_Ingredients!$N$73,D186,0)*K186</f>
        <v>0</v>
      </c>
      <c r="M186" s="162">
        <f ca="1">OFFSET(Cost_Ingredients!$O$73,D186,0)*K186</f>
        <v>0</v>
      </c>
      <c r="N186" s="179">
        <f ca="1">L186/Cost_Ingredients!$J$21</f>
        <v>0</v>
      </c>
      <c r="O186" s="179">
        <f ca="1">M186/Cost_Ingredients!$J$21</f>
        <v>0</v>
      </c>
      <c r="P186" s="151"/>
    </row>
    <row r="187" spans="4:16" s="23" customFormat="1" outlineLevel="1">
      <c r="D187" s="746">
        <v>1</v>
      </c>
      <c r="E187" s="746"/>
      <c r="F187" s="746"/>
      <c r="G187" s="749"/>
      <c r="H187" s="151"/>
      <c r="I187" s="31">
        <v>1</v>
      </c>
      <c r="J187" s="64">
        <v>0</v>
      </c>
      <c r="K187" s="135">
        <f t="shared" si="2"/>
        <v>0</v>
      </c>
      <c r="L187" s="162">
        <f ca="1">OFFSET(Cost_Ingredients!$N$73,D187,0)*K187</f>
        <v>0</v>
      </c>
      <c r="M187" s="162">
        <f ca="1">OFFSET(Cost_Ingredients!$O$73,D187,0)*K187</f>
        <v>0</v>
      </c>
      <c r="N187" s="179">
        <f ca="1">L187/Cost_Ingredients!$J$21</f>
        <v>0</v>
      </c>
      <c r="O187" s="179">
        <f ca="1">M187/Cost_Ingredients!$J$21</f>
        <v>0</v>
      </c>
      <c r="P187" s="151"/>
    </row>
    <row r="188" spans="4:16" s="23" customFormat="1" outlineLevel="1">
      <c r="D188" s="746">
        <v>1</v>
      </c>
      <c r="E188" s="746"/>
      <c r="F188" s="746"/>
      <c r="G188" s="749"/>
      <c r="H188" s="151"/>
      <c r="I188" s="31">
        <v>1</v>
      </c>
      <c r="J188" s="64">
        <v>0</v>
      </c>
      <c r="K188" s="135">
        <f t="shared" si="2"/>
        <v>0</v>
      </c>
      <c r="L188" s="162">
        <f ca="1">OFFSET(Cost_Ingredients!$N$73,D188,0)*K188</f>
        <v>0</v>
      </c>
      <c r="M188" s="162">
        <f ca="1">OFFSET(Cost_Ingredients!$O$73,D188,0)*K188</f>
        <v>0</v>
      </c>
      <c r="N188" s="179">
        <f ca="1">L188/Cost_Ingredients!$J$21</f>
        <v>0</v>
      </c>
      <c r="O188" s="179">
        <f ca="1">M188/Cost_Ingredients!$J$21</f>
        <v>0</v>
      </c>
      <c r="P188" s="151"/>
    </row>
    <row r="189" spans="4:16" s="23" customFormat="1" outlineLevel="1">
      <c r="D189" s="746">
        <v>1</v>
      </c>
      <c r="E189" s="746"/>
      <c r="F189" s="746"/>
      <c r="G189" s="749"/>
      <c r="H189" s="151"/>
      <c r="I189" s="31">
        <v>1</v>
      </c>
      <c r="J189" s="64">
        <v>0</v>
      </c>
      <c r="K189" s="135">
        <f t="shared" si="2"/>
        <v>0</v>
      </c>
      <c r="L189" s="162">
        <f ca="1">OFFSET(Cost_Ingredients!$N$73,D189,0)*K189</f>
        <v>0</v>
      </c>
      <c r="M189" s="162">
        <f ca="1">OFFSET(Cost_Ingredients!$O$73,D189,0)*K189</f>
        <v>0</v>
      </c>
      <c r="N189" s="179">
        <f ca="1">L189/Cost_Ingredients!$J$21</f>
        <v>0</v>
      </c>
      <c r="O189" s="179">
        <f ca="1">M189/Cost_Ingredients!$J$21</f>
        <v>0</v>
      </c>
      <c r="P189" s="151"/>
    </row>
    <row r="190" spans="4:16" s="23" customFormat="1" outlineLevel="1">
      <c r="D190" s="746">
        <v>1</v>
      </c>
      <c r="E190" s="746"/>
      <c r="F190" s="746"/>
      <c r="G190" s="749"/>
      <c r="H190" s="151"/>
      <c r="I190" s="31">
        <v>1</v>
      </c>
      <c r="J190" s="64">
        <v>0</v>
      </c>
      <c r="K190" s="135">
        <f t="shared" si="2"/>
        <v>0</v>
      </c>
      <c r="L190" s="162">
        <f ca="1">OFFSET(Cost_Ingredients!$N$73,D190,0)*K190</f>
        <v>0</v>
      </c>
      <c r="M190" s="162">
        <f ca="1">OFFSET(Cost_Ingredients!$O$73,D190,0)*K190</f>
        <v>0</v>
      </c>
      <c r="N190" s="179">
        <f ca="1">L190/Cost_Ingredients!$J$21</f>
        <v>0</v>
      </c>
      <c r="O190" s="179">
        <f ca="1">M190/Cost_Ingredients!$J$21</f>
        <v>0</v>
      </c>
      <c r="P190" s="151"/>
    </row>
    <row r="191" spans="4:16" s="23" customFormat="1" outlineLevel="1">
      <c r="D191" s="746">
        <v>1</v>
      </c>
      <c r="E191" s="746"/>
      <c r="F191" s="746"/>
      <c r="G191" s="749"/>
      <c r="H191" s="151"/>
      <c r="I191" s="31">
        <v>1</v>
      </c>
      <c r="J191" s="64">
        <v>0</v>
      </c>
      <c r="K191" s="135">
        <f t="shared" si="2"/>
        <v>0</v>
      </c>
      <c r="L191" s="162">
        <f ca="1">OFFSET(Cost_Ingredients!$N$73,D191,0)*K191</f>
        <v>0</v>
      </c>
      <c r="M191" s="162">
        <f ca="1">OFFSET(Cost_Ingredients!$O$73,D191,0)*K191</f>
        <v>0</v>
      </c>
      <c r="N191" s="179">
        <f ca="1">L191/Cost_Ingredients!$J$21</f>
        <v>0</v>
      </c>
      <c r="O191" s="179">
        <f ca="1">M191/Cost_Ingredients!$J$21</f>
        <v>0</v>
      </c>
      <c r="P191" s="151"/>
    </row>
    <row r="192" spans="4:16" s="23" customFormat="1" outlineLevel="1">
      <c r="D192" s="746">
        <v>1</v>
      </c>
      <c r="E192" s="746"/>
      <c r="F192" s="746"/>
      <c r="G192" s="749"/>
      <c r="H192" s="172"/>
      <c r="I192" s="31">
        <v>1</v>
      </c>
      <c r="J192" s="173">
        <v>0</v>
      </c>
      <c r="K192" s="135">
        <f t="shared" si="2"/>
        <v>0</v>
      </c>
      <c r="L192" s="162">
        <f ca="1">OFFSET(Cost_Ingredients!$N$73,D192,0)*K192</f>
        <v>0</v>
      </c>
      <c r="M192" s="162">
        <f ca="1">OFFSET(Cost_Ingredients!$O$73,D192,0)*K192</f>
        <v>0</v>
      </c>
      <c r="N192" s="179">
        <f ca="1">L192/Cost_Ingredients!$J$21</f>
        <v>0</v>
      </c>
      <c r="O192" s="179">
        <f ca="1">M192/Cost_Ingredients!$J$21</f>
        <v>0</v>
      </c>
      <c r="P192" s="172"/>
    </row>
    <row r="193" spans="3:16" s="23" customFormat="1">
      <c r="D193" s="774" t="str">
        <f>"Subtotal - "&amp;C176</f>
        <v xml:space="preserve">Subtotal - Personnel </v>
      </c>
      <c r="E193" s="774"/>
      <c r="F193" s="774"/>
      <c r="G193" s="774"/>
      <c r="H193" s="156"/>
      <c r="I193" s="12"/>
      <c r="J193" s="69"/>
      <c r="K193" s="18"/>
      <c r="L193" s="255">
        <f ca="1">SUM(L178:L192)</f>
        <v>0</v>
      </c>
      <c r="M193" s="255">
        <f ca="1">SUM(M178:M192)</f>
        <v>29.83806818181818</v>
      </c>
      <c r="N193" s="258">
        <f ca="1">SUM(N178:N192)</f>
        <v>0</v>
      </c>
      <c r="O193" s="258">
        <f ca="1">SUM(O178:O192)</f>
        <v>0.19892045454545454</v>
      </c>
      <c r="P193" s="156"/>
    </row>
    <row r="195" spans="3:16">
      <c r="C195" s="160" t="str">
        <f>FLU_LU!$D$279</f>
        <v>Allowances</v>
      </c>
    </row>
    <row r="196" spans="3:16" ht="28.8" outlineLevel="1">
      <c r="D196" s="733" t="s">
        <v>100</v>
      </c>
      <c r="E196" s="733"/>
      <c r="F196" s="733"/>
      <c r="G196" s="733"/>
      <c r="H196" s="730" t="s">
        <v>274</v>
      </c>
      <c r="I196" s="730"/>
      <c r="J196" s="152" t="s">
        <v>67</v>
      </c>
      <c r="L196" s="28" t="str">
        <f>"Financial Price ("&amp;FLU_LU!$D$79&amp;")"</f>
        <v>Financial Price (GOZ)</v>
      </c>
      <c r="M196" s="28" t="str">
        <f>"Economic Price ("&amp;FLU_LU!$D$79&amp;")"</f>
        <v>Economic Price (GOZ)</v>
      </c>
      <c r="N196" s="28" t="str">
        <f>"Financial Price ("&amp;FLU_LU!$D$78&amp;")"</f>
        <v>Financial Price (USD)</v>
      </c>
      <c r="O196" s="28" t="str">
        <f>"Economic Price ("&amp;FLU_LU!$D$78&amp;")"</f>
        <v>Economic Price (USD)</v>
      </c>
      <c r="P196" s="152" t="s">
        <v>68</v>
      </c>
    </row>
    <row r="197" spans="3:16" s="23" customFormat="1" outlineLevel="1">
      <c r="D197" s="746">
        <v>1</v>
      </c>
      <c r="E197" s="746"/>
      <c r="F197" s="746"/>
      <c r="G197" s="749"/>
      <c r="H197" s="667"/>
      <c r="I197" s="667"/>
      <c r="J197" s="64"/>
      <c r="L197" s="162">
        <f ca="1">OFFSET(Cost_Ingredients!$N$103,D197,0)*J197</f>
        <v>0</v>
      </c>
      <c r="M197" s="162">
        <f ca="1">OFFSET(Cost_Ingredients!$O$103,D197,0)*J197</f>
        <v>0</v>
      </c>
      <c r="N197" s="163">
        <f ca="1">L197/Cost_Ingredients!$J$21</f>
        <v>0</v>
      </c>
      <c r="O197" s="163">
        <f ca="1">M197/Cost_Ingredients!$J$21</f>
        <v>0</v>
      </c>
      <c r="P197" s="151"/>
    </row>
    <row r="198" spans="3:16" s="23" customFormat="1" outlineLevel="1">
      <c r="D198" s="746">
        <v>1</v>
      </c>
      <c r="E198" s="746"/>
      <c r="F198" s="746"/>
      <c r="G198" s="749"/>
      <c r="H198" s="667"/>
      <c r="I198" s="667"/>
      <c r="J198" s="64"/>
      <c r="L198" s="162">
        <f ca="1">OFFSET(Cost_Ingredients!$N$103,D198,0)*J198</f>
        <v>0</v>
      </c>
      <c r="M198" s="162">
        <f ca="1">OFFSET(Cost_Ingredients!$O$103,D198,0)*J198</f>
        <v>0</v>
      </c>
      <c r="N198" s="163">
        <f ca="1">L198/Cost_Ingredients!$J$21</f>
        <v>0</v>
      </c>
      <c r="O198" s="163">
        <f ca="1">M198/Cost_Ingredients!$J$21</f>
        <v>0</v>
      </c>
      <c r="P198" s="151"/>
    </row>
    <row r="199" spans="3:16" s="23" customFormat="1" outlineLevel="1">
      <c r="D199" s="746">
        <v>1</v>
      </c>
      <c r="E199" s="746"/>
      <c r="F199" s="746"/>
      <c r="G199" s="749"/>
      <c r="H199" s="667"/>
      <c r="I199" s="667"/>
      <c r="J199" s="64"/>
      <c r="L199" s="162">
        <f ca="1">OFFSET(Cost_Ingredients!$N$103,D199,0)*J199</f>
        <v>0</v>
      </c>
      <c r="M199" s="162">
        <f ca="1">OFFSET(Cost_Ingredients!$O$103,D199,0)*J199</f>
        <v>0</v>
      </c>
      <c r="N199" s="163">
        <f ca="1">L199/Cost_Ingredients!$J$21</f>
        <v>0</v>
      </c>
      <c r="O199" s="163">
        <f ca="1">M199/Cost_Ingredients!$J$21</f>
        <v>0</v>
      </c>
      <c r="P199" s="151"/>
    </row>
    <row r="200" spans="3:16" s="23" customFormat="1" outlineLevel="1">
      <c r="D200" s="746">
        <v>1</v>
      </c>
      <c r="E200" s="746"/>
      <c r="F200" s="746"/>
      <c r="G200" s="749"/>
      <c r="H200" s="667"/>
      <c r="I200" s="667"/>
      <c r="J200" s="64"/>
      <c r="L200" s="162">
        <f ca="1">OFFSET(Cost_Ingredients!$N$103,D200,0)*J200</f>
        <v>0</v>
      </c>
      <c r="M200" s="162">
        <f ca="1">OFFSET(Cost_Ingredients!$O$103,D200,0)*J200</f>
        <v>0</v>
      </c>
      <c r="N200" s="163">
        <f ca="1">L200/Cost_Ingredients!$J$21</f>
        <v>0</v>
      </c>
      <c r="O200" s="163">
        <f ca="1">M200/Cost_Ingredients!$J$21</f>
        <v>0</v>
      </c>
      <c r="P200" s="151"/>
    </row>
    <row r="201" spans="3:16" s="23" customFormat="1" outlineLevel="1">
      <c r="D201" s="746">
        <v>1</v>
      </c>
      <c r="E201" s="746"/>
      <c r="F201" s="746"/>
      <c r="G201" s="749"/>
      <c r="H201" s="667"/>
      <c r="I201" s="667"/>
      <c r="J201" s="64"/>
      <c r="L201" s="162">
        <f ca="1">OFFSET(Cost_Ingredients!$N$103,D201,0)*J201</f>
        <v>0</v>
      </c>
      <c r="M201" s="162">
        <f ca="1">OFFSET(Cost_Ingredients!$O$103,D201,0)*J201</f>
        <v>0</v>
      </c>
      <c r="N201" s="163">
        <f ca="1">L201/Cost_Ingredients!$J$21</f>
        <v>0</v>
      </c>
      <c r="O201" s="163">
        <f ca="1">M201/Cost_Ingredients!$J$21</f>
        <v>0</v>
      </c>
      <c r="P201" s="151"/>
    </row>
    <row r="202" spans="3:16" s="23" customFormat="1" outlineLevel="1">
      <c r="D202" s="746">
        <v>1</v>
      </c>
      <c r="E202" s="746"/>
      <c r="F202" s="746"/>
      <c r="G202" s="749"/>
      <c r="H202" s="667"/>
      <c r="I202" s="667"/>
      <c r="J202" s="64"/>
      <c r="L202" s="162">
        <f ca="1">OFFSET(Cost_Ingredients!$N$103,D202,0)*J202</f>
        <v>0</v>
      </c>
      <c r="M202" s="162">
        <f ca="1">OFFSET(Cost_Ingredients!$O$103,D202,0)*J202</f>
        <v>0</v>
      </c>
      <c r="N202" s="163">
        <f ca="1">L202/Cost_Ingredients!$J$21</f>
        <v>0</v>
      </c>
      <c r="O202" s="163">
        <f ca="1">M202/Cost_Ingredients!$J$21</f>
        <v>0</v>
      </c>
      <c r="P202" s="151"/>
    </row>
    <row r="203" spans="3:16" s="23" customFormat="1" outlineLevel="1">
      <c r="D203" s="746">
        <v>1</v>
      </c>
      <c r="E203" s="746"/>
      <c r="F203" s="746"/>
      <c r="G203" s="749"/>
      <c r="H203" s="667"/>
      <c r="I203" s="667"/>
      <c r="J203" s="64"/>
      <c r="L203" s="162">
        <f ca="1">OFFSET(Cost_Ingredients!$N$103,D203,0)*J203</f>
        <v>0</v>
      </c>
      <c r="M203" s="162">
        <f ca="1">OFFSET(Cost_Ingredients!$O$103,D203,0)*J203</f>
        <v>0</v>
      </c>
      <c r="N203" s="163">
        <f ca="1">L203/Cost_Ingredients!$J$21</f>
        <v>0</v>
      </c>
      <c r="O203" s="163">
        <f ca="1">M203/Cost_Ingredients!$J$21</f>
        <v>0</v>
      </c>
      <c r="P203" s="151"/>
    </row>
    <row r="204" spans="3:16" s="23" customFormat="1" outlineLevel="1">
      <c r="D204" s="746">
        <v>1</v>
      </c>
      <c r="E204" s="746"/>
      <c r="F204" s="746"/>
      <c r="G204" s="749"/>
      <c r="H204" s="667"/>
      <c r="I204" s="667"/>
      <c r="J204" s="64"/>
      <c r="L204" s="162">
        <f ca="1">OFFSET(Cost_Ingredients!$N$103,D204,0)*J204</f>
        <v>0</v>
      </c>
      <c r="M204" s="162">
        <f ca="1">OFFSET(Cost_Ingredients!$O$103,D204,0)*J204</f>
        <v>0</v>
      </c>
      <c r="N204" s="163">
        <f ca="1">L204/Cost_Ingredients!$J$21</f>
        <v>0</v>
      </c>
      <c r="O204" s="163">
        <f ca="1">M204/Cost_Ingredients!$J$21</f>
        <v>0</v>
      </c>
      <c r="P204" s="151"/>
    </row>
    <row r="205" spans="3:16" s="23" customFormat="1" outlineLevel="1">
      <c r="D205" s="746">
        <v>1</v>
      </c>
      <c r="E205" s="746"/>
      <c r="F205" s="746"/>
      <c r="G205" s="749"/>
      <c r="H205" s="667"/>
      <c r="I205" s="667"/>
      <c r="J205" s="64"/>
      <c r="L205" s="162">
        <f ca="1">OFFSET(Cost_Ingredients!$N$103,D205,0)*J205</f>
        <v>0</v>
      </c>
      <c r="M205" s="162">
        <f ca="1">OFFSET(Cost_Ingredients!$O$103,D205,0)*J205</f>
        <v>0</v>
      </c>
      <c r="N205" s="163">
        <f ca="1">L205/Cost_Ingredients!$J$21</f>
        <v>0</v>
      </c>
      <c r="O205" s="163">
        <f ca="1">M205/Cost_Ingredients!$J$21</f>
        <v>0</v>
      </c>
      <c r="P205" s="151"/>
    </row>
    <row r="206" spans="3:16" s="23" customFormat="1" outlineLevel="1">
      <c r="D206" s="746">
        <v>1</v>
      </c>
      <c r="E206" s="746"/>
      <c r="F206" s="746"/>
      <c r="G206" s="749"/>
      <c r="H206" s="667"/>
      <c r="I206" s="667"/>
      <c r="J206" s="64"/>
      <c r="L206" s="162">
        <f ca="1">OFFSET(Cost_Ingredients!$N$103,D206,0)*J206</f>
        <v>0</v>
      </c>
      <c r="M206" s="162">
        <f ca="1">OFFSET(Cost_Ingredients!$O$103,D206,0)*J206</f>
        <v>0</v>
      </c>
      <c r="N206" s="163">
        <f ca="1">L206/Cost_Ingredients!$J$21</f>
        <v>0</v>
      </c>
      <c r="O206" s="163">
        <f ca="1">M206/Cost_Ingredients!$J$21</f>
        <v>0</v>
      </c>
      <c r="P206" s="151"/>
    </row>
    <row r="207" spans="3:16" s="23" customFormat="1" outlineLevel="1">
      <c r="D207" s="746">
        <v>1</v>
      </c>
      <c r="E207" s="746"/>
      <c r="F207" s="746"/>
      <c r="G207" s="749"/>
      <c r="H207" s="667"/>
      <c r="I207" s="667"/>
      <c r="J207" s="64"/>
      <c r="L207" s="162">
        <f ca="1">OFFSET(Cost_Ingredients!$N$103,D207,0)*J207</f>
        <v>0</v>
      </c>
      <c r="M207" s="162">
        <f ca="1">OFFSET(Cost_Ingredients!$O$103,D207,0)*J207</f>
        <v>0</v>
      </c>
      <c r="N207" s="163">
        <f ca="1">L207/Cost_Ingredients!$J$21</f>
        <v>0</v>
      </c>
      <c r="O207" s="163">
        <f ca="1">M207/Cost_Ingredients!$J$21</f>
        <v>0</v>
      </c>
      <c r="P207" s="151"/>
    </row>
    <row r="208" spans="3:16" s="23" customFormat="1" outlineLevel="1">
      <c r="D208" s="746">
        <v>1</v>
      </c>
      <c r="E208" s="746"/>
      <c r="F208" s="746"/>
      <c r="G208" s="749"/>
      <c r="H208" s="667"/>
      <c r="I208" s="667"/>
      <c r="J208" s="64"/>
      <c r="L208" s="162">
        <f ca="1">OFFSET(Cost_Ingredients!$N$103,D208,0)*J208</f>
        <v>0</v>
      </c>
      <c r="M208" s="162">
        <f ca="1">OFFSET(Cost_Ingredients!$O$103,D208,0)*J208</f>
        <v>0</v>
      </c>
      <c r="N208" s="163">
        <f ca="1">L208/Cost_Ingredients!$J$21</f>
        <v>0</v>
      </c>
      <c r="O208" s="163">
        <f ca="1">M208/Cost_Ingredients!$J$21</f>
        <v>0</v>
      </c>
      <c r="P208" s="151"/>
    </row>
    <row r="209" spans="3:16" s="23" customFormat="1" outlineLevel="1">
      <c r="D209" s="746">
        <v>1</v>
      </c>
      <c r="E209" s="746"/>
      <c r="F209" s="746"/>
      <c r="G209" s="749"/>
      <c r="H209" s="667"/>
      <c r="I209" s="667"/>
      <c r="J209" s="64"/>
      <c r="L209" s="162">
        <f ca="1">OFFSET(Cost_Ingredients!$N$103,D209,0)*J209</f>
        <v>0</v>
      </c>
      <c r="M209" s="162">
        <f ca="1">OFFSET(Cost_Ingredients!$O$103,D209,0)*J209</f>
        <v>0</v>
      </c>
      <c r="N209" s="163">
        <f ca="1">L209/Cost_Ingredients!$J$21</f>
        <v>0</v>
      </c>
      <c r="O209" s="163">
        <f ca="1">M209/Cost_Ingredients!$J$21</f>
        <v>0</v>
      </c>
      <c r="P209" s="151"/>
    </row>
    <row r="210" spans="3:16" s="23" customFormat="1" outlineLevel="1">
      <c r="D210" s="746">
        <v>1</v>
      </c>
      <c r="E210" s="746"/>
      <c r="F210" s="746"/>
      <c r="G210" s="749"/>
      <c r="H210" s="667"/>
      <c r="I210" s="667"/>
      <c r="J210" s="64"/>
      <c r="L210" s="162">
        <f ca="1">OFFSET(Cost_Ingredients!$N$103,D210,0)*J210</f>
        <v>0</v>
      </c>
      <c r="M210" s="162">
        <f ca="1">OFFSET(Cost_Ingredients!$O$103,D210,0)*J210</f>
        <v>0</v>
      </c>
      <c r="N210" s="163">
        <f ca="1">L210/Cost_Ingredients!$J$21</f>
        <v>0</v>
      </c>
      <c r="O210" s="163">
        <f ca="1">M210/Cost_Ingredients!$J$21</f>
        <v>0</v>
      </c>
      <c r="P210" s="151"/>
    </row>
    <row r="211" spans="3:16" s="23" customFormat="1" outlineLevel="1">
      <c r="D211" s="746">
        <v>1</v>
      </c>
      <c r="E211" s="746"/>
      <c r="F211" s="746"/>
      <c r="G211" s="749"/>
      <c r="H211" s="745"/>
      <c r="I211" s="745"/>
      <c r="J211" s="173">
        <v>0</v>
      </c>
      <c r="L211" s="162">
        <f ca="1">OFFSET(Cost_Ingredients!$N$103,D211,0)*J211</f>
        <v>0</v>
      </c>
      <c r="M211" s="162">
        <f ca="1">OFFSET(Cost_Ingredients!$O$103,D211,0)*J211</f>
        <v>0</v>
      </c>
      <c r="N211" s="163">
        <f ca="1">L211/Cost_Ingredients!$J$21</f>
        <v>0</v>
      </c>
      <c r="O211" s="163">
        <f ca="1">M211/Cost_Ingredients!$J$21</f>
        <v>0</v>
      </c>
      <c r="P211" s="172"/>
    </row>
    <row r="212" spans="3:16" s="23" customFormat="1">
      <c r="D212" s="754" t="str">
        <f>"Subtotal - "&amp;C195</f>
        <v>Subtotal - Allowances</v>
      </c>
      <c r="E212" s="754"/>
      <c r="F212" s="754"/>
      <c r="G212" s="754"/>
      <c r="H212" s="156"/>
      <c r="I212" s="156"/>
      <c r="J212" s="69"/>
      <c r="L212" s="255">
        <f ca="1">SUM(L197:L211)</f>
        <v>0</v>
      </c>
      <c r="M212" s="255">
        <f ca="1">SUM(M197:M211)</f>
        <v>0</v>
      </c>
      <c r="N212" s="258">
        <f ca="1">SUM(N197:N211)</f>
        <v>0</v>
      </c>
      <c r="O212" s="258">
        <f ca="1">SUM(O197:O211)</f>
        <v>0</v>
      </c>
      <c r="P212" s="156"/>
    </row>
    <row r="214" spans="3:16">
      <c r="C214" s="160" t="str">
        <f>FLU_LU!$D$280</f>
        <v>Supplies &amp; Materials</v>
      </c>
    </row>
    <row r="215" spans="3:16" ht="28.8" outlineLevel="1">
      <c r="D215" s="733" t="s">
        <v>100</v>
      </c>
      <c r="E215" s="733"/>
      <c r="F215" s="733"/>
      <c r="G215" s="733"/>
      <c r="H215" s="142" t="s">
        <v>274</v>
      </c>
      <c r="I215" s="72" t="s">
        <v>275</v>
      </c>
      <c r="J215" s="152" t="s">
        <v>67</v>
      </c>
      <c r="L215" s="28" t="str">
        <f>"Financial Price ("&amp;FLU_LU!$D$79&amp;")"</f>
        <v>Financial Price (GOZ)</v>
      </c>
      <c r="M215" s="28" t="str">
        <f>"Economic Price ("&amp;FLU_LU!$D$79&amp;")"</f>
        <v>Economic Price (GOZ)</v>
      </c>
      <c r="N215" s="28" t="str">
        <f>"Financial Price ("&amp;FLU_LU!$D$78&amp;")"</f>
        <v>Financial Price (USD)</v>
      </c>
      <c r="O215" s="28" t="str">
        <f>"Economic Price ("&amp;FLU_LU!$D$78&amp;")"</f>
        <v>Economic Price (USD)</v>
      </c>
      <c r="P215" s="152" t="s">
        <v>68</v>
      </c>
    </row>
    <row r="216" spans="3:16" s="23" customFormat="1" outlineLevel="1">
      <c r="D216" s="746">
        <v>8</v>
      </c>
      <c r="E216" s="746"/>
      <c r="F216" s="746"/>
      <c r="G216" s="749"/>
      <c r="H216" s="151" t="s">
        <v>688</v>
      </c>
      <c r="I216" s="159" t="str">
        <f ca="1">OFFSET(Cost_Ingredients!$M$117,D216,0)</f>
        <v>1 entry</v>
      </c>
      <c r="J216" s="64">
        <v>1</v>
      </c>
      <c r="L216" s="162">
        <f ca="1">OFFSET(Cost_Ingredients!$N$117,D216,0)*J216</f>
        <v>0</v>
      </c>
      <c r="M216" s="162">
        <f ca="1">OFFSET(Cost_Ingredients!$O$117,D216,0)*J216</f>
        <v>12</v>
      </c>
      <c r="N216" s="163">
        <f ca="1">L216/Cost_Ingredients!$J$21</f>
        <v>0</v>
      </c>
      <c r="O216" s="163">
        <f ca="1">M216/Cost_Ingredients!$J$21</f>
        <v>0.08</v>
      </c>
      <c r="P216" s="151" t="s">
        <v>495</v>
      </c>
    </row>
    <row r="217" spans="3:16" s="23" customFormat="1" outlineLevel="1">
      <c r="D217" s="746">
        <v>1</v>
      </c>
      <c r="E217" s="746"/>
      <c r="F217" s="746"/>
      <c r="G217" s="749"/>
      <c r="H217" s="151"/>
      <c r="I217" s="159">
        <f ca="1">OFFSET(Cost_Ingredients!$M$117,D217,0)</f>
        <v>0</v>
      </c>
      <c r="J217" s="64"/>
      <c r="L217" s="162">
        <f ca="1">OFFSET(Cost_Ingredients!$N$117,D217,0)*J217</f>
        <v>0</v>
      </c>
      <c r="M217" s="162">
        <f ca="1">OFFSET(Cost_Ingredients!$O$117,D217,0)*J217</f>
        <v>0</v>
      </c>
      <c r="N217" s="163">
        <f ca="1">L217/Cost_Ingredients!$J$21</f>
        <v>0</v>
      </c>
      <c r="O217" s="163">
        <f ca="1">M217/Cost_Ingredients!$J$21</f>
        <v>0</v>
      </c>
      <c r="P217" s="151"/>
    </row>
    <row r="218" spans="3:16" s="23" customFormat="1" outlineLevel="1">
      <c r="D218" s="746">
        <v>1</v>
      </c>
      <c r="E218" s="746"/>
      <c r="F218" s="746"/>
      <c r="G218" s="749"/>
      <c r="H218" s="151"/>
      <c r="I218" s="159">
        <f ca="1">OFFSET(Cost_Ingredients!$M$117,D218,0)</f>
        <v>0</v>
      </c>
      <c r="J218" s="64"/>
      <c r="L218" s="162">
        <f ca="1">OFFSET(Cost_Ingredients!$N$117,D218,0)*J218</f>
        <v>0</v>
      </c>
      <c r="M218" s="162">
        <f ca="1">OFFSET(Cost_Ingredients!$O$117,D218,0)*J218</f>
        <v>0</v>
      </c>
      <c r="N218" s="163">
        <f ca="1">L218/Cost_Ingredients!$J$21</f>
        <v>0</v>
      </c>
      <c r="O218" s="163">
        <f ca="1">M218/Cost_Ingredients!$J$21</f>
        <v>0</v>
      </c>
      <c r="P218" s="151"/>
    </row>
    <row r="219" spans="3:16" s="23" customFormat="1" outlineLevel="1">
      <c r="D219" s="746">
        <v>1</v>
      </c>
      <c r="E219" s="746"/>
      <c r="F219" s="746"/>
      <c r="G219" s="749"/>
      <c r="H219" s="151"/>
      <c r="I219" s="159">
        <f ca="1">OFFSET(Cost_Ingredients!$M$117,D219,0)</f>
        <v>0</v>
      </c>
      <c r="J219" s="64"/>
      <c r="L219" s="162">
        <f ca="1">OFFSET(Cost_Ingredients!$N$117,D219,0)*J219</f>
        <v>0</v>
      </c>
      <c r="M219" s="162">
        <f ca="1">OFFSET(Cost_Ingredients!$O$117,D219,0)*J219</f>
        <v>0</v>
      </c>
      <c r="N219" s="163">
        <f ca="1">L219/Cost_Ingredients!$J$21</f>
        <v>0</v>
      </c>
      <c r="O219" s="163">
        <f ca="1">M219/Cost_Ingredients!$J$21</f>
        <v>0</v>
      </c>
      <c r="P219" s="151"/>
    </row>
    <row r="220" spans="3:16" s="23" customFormat="1" outlineLevel="1">
      <c r="D220" s="746">
        <v>1</v>
      </c>
      <c r="E220" s="746"/>
      <c r="F220" s="746"/>
      <c r="G220" s="749"/>
      <c r="H220" s="151"/>
      <c r="I220" s="159">
        <f ca="1">OFFSET(Cost_Ingredients!$M$117,D220,0)</f>
        <v>0</v>
      </c>
      <c r="J220" s="64"/>
      <c r="L220" s="162">
        <f ca="1">OFFSET(Cost_Ingredients!$N$117,D220,0)*J220</f>
        <v>0</v>
      </c>
      <c r="M220" s="162">
        <f ca="1">OFFSET(Cost_Ingredients!$O$117,D220,0)*J220</f>
        <v>0</v>
      </c>
      <c r="N220" s="163">
        <f ca="1">L220/Cost_Ingredients!$J$21</f>
        <v>0</v>
      </c>
      <c r="O220" s="163">
        <f ca="1">M220/Cost_Ingredients!$J$21</f>
        <v>0</v>
      </c>
      <c r="P220" s="151"/>
    </row>
    <row r="221" spans="3:16" s="23" customFormat="1" outlineLevel="1">
      <c r="D221" s="746">
        <v>1</v>
      </c>
      <c r="E221" s="746"/>
      <c r="F221" s="746"/>
      <c r="G221" s="749"/>
      <c r="H221" s="151"/>
      <c r="I221" s="159">
        <f ca="1">OFFSET(Cost_Ingredients!$M$117,D221,0)</f>
        <v>0</v>
      </c>
      <c r="J221" s="64">
        <v>0</v>
      </c>
      <c r="L221" s="162">
        <f ca="1">OFFSET(Cost_Ingredients!$N$117,D221,0)*J221</f>
        <v>0</v>
      </c>
      <c r="M221" s="162">
        <f ca="1">OFFSET(Cost_Ingredients!$O$117,D221,0)*J221</f>
        <v>0</v>
      </c>
      <c r="N221" s="163">
        <f ca="1">L221/Cost_Ingredients!$J$21</f>
        <v>0</v>
      </c>
      <c r="O221" s="163">
        <f ca="1">M221/Cost_Ingredients!$J$21</f>
        <v>0</v>
      </c>
      <c r="P221" s="151"/>
    </row>
    <row r="222" spans="3:16" s="23" customFormat="1" outlineLevel="1">
      <c r="D222" s="746">
        <v>1</v>
      </c>
      <c r="E222" s="746"/>
      <c r="F222" s="746"/>
      <c r="G222" s="749"/>
      <c r="H222" s="151"/>
      <c r="I222" s="159">
        <f ca="1">OFFSET(Cost_Ingredients!$M$117,D222,0)</f>
        <v>0</v>
      </c>
      <c r="J222" s="64">
        <v>0</v>
      </c>
      <c r="L222" s="162">
        <f ca="1">OFFSET(Cost_Ingredients!$N$117,D222,0)*J222</f>
        <v>0</v>
      </c>
      <c r="M222" s="162">
        <f ca="1">OFFSET(Cost_Ingredients!$O$117,D222,0)*J222</f>
        <v>0</v>
      </c>
      <c r="N222" s="163">
        <f ca="1">L222/Cost_Ingredients!$J$21</f>
        <v>0</v>
      </c>
      <c r="O222" s="163">
        <f ca="1">M222/Cost_Ingredients!$J$21</f>
        <v>0</v>
      </c>
      <c r="P222" s="151"/>
    </row>
    <row r="223" spans="3:16" s="23" customFormat="1" outlineLevel="1">
      <c r="D223" s="746">
        <v>1</v>
      </c>
      <c r="E223" s="746"/>
      <c r="F223" s="746"/>
      <c r="G223" s="749"/>
      <c r="H223" s="151"/>
      <c r="I223" s="159">
        <f ca="1">OFFSET(Cost_Ingredients!$M$117,D223,0)</f>
        <v>0</v>
      </c>
      <c r="J223" s="64">
        <v>0</v>
      </c>
      <c r="L223" s="162">
        <f ca="1">OFFSET(Cost_Ingredients!$N$117,D223,0)*J223</f>
        <v>0</v>
      </c>
      <c r="M223" s="162">
        <f ca="1">OFFSET(Cost_Ingredients!$O$117,D223,0)*J223</f>
        <v>0</v>
      </c>
      <c r="N223" s="163">
        <f ca="1">L223/Cost_Ingredients!$J$21</f>
        <v>0</v>
      </c>
      <c r="O223" s="163">
        <f ca="1">M223/Cost_Ingredients!$J$21</f>
        <v>0</v>
      </c>
      <c r="P223" s="151"/>
    </row>
    <row r="224" spans="3:16" s="23" customFormat="1" outlineLevel="1">
      <c r="D224" s="746">
        <v>1</v>
      </c>
      <c r="E224" s="746"/>
      <c r="F224" s="746"/>
      <c r="G224" s="749"/>
      <c r="H224" s="151"/>
      <c r="I224" s="159">
        <f ca="1">OFFSET(Cost_Ingredients!$M$117,D224,0)</f>
        <v>0</v>
      </c>
      <c r="J224" s="64">
        <v>0</v>
      </c>
      <c r="L224" s="162">
        <f ca="1">OFFSET(Cost_Ingredients!$N$117,D224,0)*J224</f>
        <v>0</v>
      </c>
      <c r="M224" s="162">
        <f ca="1">OFFSET(Cost_Ingredients!$O$117,D224,0)*J224</f>
        <v>0</v>
      </c>
      <c r="N224" s="163">
        <f ca="1">L224/Cost_Ingredients!$J$21</f>
        <v>0</v>
      </c>
      <c r="O224" s="163">
        <f ca="1">M224/Cost_Ingredients!$J$21</f>
        <v>0</v>
      </c>
      <c r="P224" s="151"/>
    </row>
    <row r="225" spans="3:16" s="23" customFormat="1" outlineLevel="1">
      <c r="D225" s="746">
        <v>1</v>
      </c>
      <c r="E225" s="746"/>
      <c r="F225" s="746"/>
      <c r="G225" s="749"/>
      <c r="H225" s="151"/>
      <c r="I225" s="159">
        <f ca="1">OFFSET(Cost_Ingredients!$M$117,D225,0)</f>
        <v>0</v>
      </c>
      <c r="J225" s="64">
        <v>0</v>
      </c>
      <c r="L225" s="162">
        <f ca="1">OFFSET(Cost_Ingredients!$N$117,D225,0)*J225</f>
        <v>0</v>
      </c>
      <c r="M225" s="162">
        <f ca="1">OFFSET(Cost_Ingredients!$O$117,D225,0)*J225</f>
        <v>0</v>
      </c>
      <c r="N225" s="163">
        <f ca="1">L225/Cost_Ingredients!$J$21</f>
        <v>0</v>
      </c>
      <c r="O225" s="163">
        <f ca="1">M225/Cost_Ingredients!$J$21</f>
        <v>0</v>
      </c>
      <c r="P225" s="151"/>
    </row>
    <row r="226" spans="3:16" s="23" customFormat="1" outlineLevel="1">
      <c r="D226" s="746">
        <v>1</v>
      </c>
      <c r="E226" s="746"/>
      <c r="F226" s="746"/>
      <c r="G226" s="749"/>
      <c r="H226" s="151"/>
      <c r="I226" s="159">
        <f ca="1">OFFSET(Cost_Ingredients!$M$117,D226,0)</f>
        <v>0</v>
      </c>
      <c r="J226" s="64">
        <v>0</v>
      </c>
      <c r="L226" s="162">
        <f ca="1">OFFSET(Cost_Ingredients!$N$117,D226,0)*J226</f>
        <v>0</v>
      </c>
      <c r="M226" s="162">
        <f ca="1">OFFSET(Cost_Ingredients!$O$117,D226,0)*J226</f>
        <v>0</v>
      </c>
      <c r="N226" s="163">
        <f ca="1">L226/Cost_Ingredients!$J$21</f>
        <v>0</v>
      </c>
      <c r="O226" s="163">
        <f ca="1">M226/Cost_Ingredients!$J$21</f>
        <v>0</v>
      </c>
      <c r="P226" s="151"/>
    </row>
    <row r="227" spans="3:16" s="23" customFormat="1" outlineLevel="1">
      <c r="D227" s="746">
        <v>1</v>
      </c>
      <c r="E227" s="746"/>
      <c r="F227" s="746"/>
      <c r="G227" s="749"/>
      <c r="H227" s="151"/>
      <c r="I227" s="159">
        <f ca="1">OFFSET(Cost_Ingredients!$M$117,D227,0)</f>
        <v>0</v>
      </c>
      <c r="J227" s="64">
        <v>0</v>
      </c>
      <c r="L227" s="162">
        <f ca="1">OFFSET(Cost_Ingredients!$N$117,D227,0)*J227</f>
        <v>0</v>
      </c>
      <c r="M227" s="162">
        <f ca="1">OFFSET(Cost_Ingredients!$O$117,D227,0)*J227</f>
        <v>0</v>
      </c>
      <c r="N227" s="163">
        <f ca="1">L227/Cost_Ingredients!$J$21</f>
        <v>0</v>
      </c>
      <c r="O227" s="163">
        <f ca="1">M227/Cost_Ingredients!$J$21</f>
        <v>0</v>
      </c>
      <c r="P227" s="151"/>
    </row>
    <row r="228" spans="3:16" s="23" customFormat="1" outlineLevel="1">
      <c r="D228" s="746">
        <v>1</v>
      </c>
      <c r="E228" s="746"/>
      <c r="F228" s="746"/>
      <c r="G228" s="749"/>
      <c r="H228" s="151"/>
      <c r="I228" s="159">
        <f ca="1">OFFSET(Cost_Ingredients!$M$117,D228,0)</f>
        <v>0</v>
      </c>
      <c r="J228" s="64">
        <v>0</v>
      </c>
      <c r="L228" s="162">
        <f ca="1">OFFSET(Cost_Ingredients!$N$117,D228,0)*J228</f>
        <v>0</v>
      </c>
      <c r="M228" s="162">
        <f ca="1">OFFSET(Cost_Ingredients!$O$117,D228,0)*J228</f>
        <v>0</v>
      </c>
      <c r="N228" s="163">
        <f ca="1">L228/Cost_Ingredients!$J$21</f>
        <v>0</v>
      </c>
      <c r="O228" s="163">
        <f ca="1">M228/Cost_Ingredients!$J$21</f>
        <v>0</v>
      </c>
      <c r="P228" s="151"/>
    </row>
    <row r="229" spans="3:16" s="23" customFormat="1" outlineLevel="1">
      <c r="D229" s="746">
        <v>1</v>
      </c>
      <c r="E229" s="746"/>
      <c r="F229" s="746"/>
      <c r="G229" s="749"/>
      <c r="H229" s="151"/>
      <c r="I229" s="159">
        <f ca="1">OFFSET(Cost_Ingredients!$M$117,D229,0)</f>
        <v>0</v>
      </c>
      <c r="J229" s="64">
        <v>0</v>
      </c>
      <c r="L229" s="162">
        <f ca="1">OFFSET(Cost_Ingredients!$N$117,D229,0)*J229</f>
        <v>0</v>
      </c>
      <c r="M229" s="162">
        <f ca="1">OFFSET(Cost_Ingredients!$O$117,D229,0)*J229</f>
        <v>0</v>
      </c>
      <c r="N229" s="163">
        <f ca="1">L229/Cost_Ingredients!$J$21</f>
        <v>0</v>
      </c>
      <c r="O229" s="163">
        <f ca="1">M229/Cost_Ingredients!$J$21</f>
        <v>0</v>
      </c>
      <c r="P229" s="151"/>
    </row>
    <row r="230" spans="3:16" s="23" customFormat="1" outlineLevel="1">
      <c r="D230" s="746">
        <v>1</v>
      </c>
      <c r="E230" s="746"/>
      <c r="F230" s="746"/>
      <c r="G230" s="749"/>
      <c r="H230" s="172"/>
      <c r="I230" s="159">
        <f ca="1">OFFSET(Cost_Ingredients!$M$117,D230,0)</f>
        <v>0</v>
      </c>
      <c r="J230" s="173">
        <v>0</v>
      </c>
      <c r="L230" s="162">
        <f ca="1">OFFSET(Cost_Ingredients!$N$117,D230,0)*J230</f>
        <v>0</v>
      </c>
      <c r="M230" s="162">
        <f ca="1">OFFSET(Cost_Ingredients!$O$117,D230,0)*J230</f>
        <v>0</v>
      </c>
      <c r="N230" s="163">
        <f ca="1">L230/Cost_Ingredients!$J$21</f>
        <v>0</v>
      </c>
      <c r="O230" s="163">
        <f ca="1">M230/Cost_Ingredients!$J$21</f>
        <v>0</v>
      </c>
      <c r="P230" s="172"/>
    </row>
    <row r="231" spans="3:16" s="23" customFormat="1">
      <c r="D231" s="754" t="str">
        <f>"Subtotal - "&amp;C214</f>
        <v>Subtotal - Supplies &amp; Materials</v>
      </c>
      <c r="E231" s="754"/>
      <c r="F231" s="754"/>
      <c r="G231" s="754"/>
      <c r="H231" s="156"/>
      <c r="I231" s="156"/>
      <c r="J231" s="69"/>
      <c r="L231" s="255">
        <f ca="1">SUM(L216:L230)</f>
        <v>0</v>
      </c>
      <c r="M231" s="255">
        <f ca="1">SUM(M216:M230)</f>
        <v>12</v>
      </c>
      <c r="N231" s="258">
        <f ca="1">SUM(N216:N230)</f>
        <v>0</v>
      </c>
      <c r="O231" s="258">
        <f ca="1">SUM(O216:O230)</f>
        <v>0.08</v>
      </c>
      <c r="P231" s="156"/>
    </row>
    <row r="233" spans="3:16">
      <c r="C233" s="160" t="str">
        <f>FLU_LU!$D$281</f>
        <v>Other Direct Costs (Recurrent)</v>
      </c>
    </row>
    <row r="234" spans="3:16" ht="28.8" outlineLevel="1">
      <c r="D234" s="733" t="s">
        <v>100</v>
      </c>
      <c r="E234" s="733"/>
      <c r="F234" s="733"/>
      <c r="G234" s="733"/>
      <c r="H234" s="142" t="s">
        <v>274</v>
      </c>
      <c r="I234" s="72" t="s">
        <v>275</v>
      </c>
      <c r="J234" s="152" t="s">
        <v>67</v>
      </c>
      <c r="L234" s="28" t="str">
        <f>"Financial Price ("&amp;FLU_LU!$D$79&amp;")"</f>
        <v>Financial Price (GOZ)</v>
      </c>
      <c r="M234" s="28" t="str">
        <f>"Economic Price ("&amp;FLU_LU!$D$79&amp;")"</f>
        <v>Economic Price (GOZ)</v>
      </c>
      <c r="N234" s="28" t="str">
        <f>"Financial Price ("&amp;FLU_LU!$D$78&amp;")"</f>
        <v>Financial Price (USD)</v>
      </c>
      <c r="O234" s="28" t="str">
        <f>"Economic Price ("&amp;FLU_LU!$D$78&amp;")"</f>
        <v>Economic Price (USD)</v>
      </c>
      <c r="P234" s="152" t="s">
        <v>68</v>
      </c>
    </row>
    <row r="235" spans="3:16" s="23" customFormat="1" outlineLevel="1">
      <c r="D235" s="746">
        <v>1</v>
      </c>
      <c r="E235" s="746"/>
      <c r="F235" s="746"/>
      <c r="G235" s="749"/>
      <c r="H235" s="151"/>
      <c r="I235" s="159">
        <f ca="1">OFFSET(Cost_Ingredients!$M$146,D235,0)</f>
        <v>0</v>
      </c>
      <c r="J235" s="64"/>
      <c r="L235" s="162">
        <f ca="1">OFFSET(Cost_Ingredients!$N$146,D235,0)*J235</f>
        <v>0</v>
      </c>
      <c r="M235" s="162">
        <f ca="1">OFFSET(Cost_Ingredients!$O$146,D235,0)*J235</f>
        <v>0</v>
      </c>
      <c r="N235" s="163">
        <f ca="1">L235/Cost_Ingredients!$J$21</f>
        <v>0</v>
      </c>
      <c r="O235" s="163">
        <f ca="1">M235/Cost_Ingredients!$J$21</f>
        <v>0</v>
      </c>
      <c r="P235" s="151"/>
    </row>
    <row r="236" spans="3:16" s="23" customFormat="1" outlineLevel="1">
      <c r="D236" s="746">
        <v>1</v>
      </c>
      <c r="E236" s="746"/>
      <c r="F236" s="746"/>
      <c r="G236" s="749"/>
      <c r="H236" s="151"/>
      <c r="I236" s="159">
        <f ca="1">OFFSET(Cost_Ingredients!$M$146,D236,0)</f>
        <v>0</v>
      </c>
      <c r="J236" s="64">
        <v>0</v>
      </c>
      <c r="L236" s="162">
        <f ca="1">OFFSET(Cost_Ingredients!$N$146,D236,0)*J236</f>
        <v>0</v>
      </c>
      <c r="M236" s="162">
        <f ca="1">OFFSET(Cost_Ingredients!$O$146,D236,0)*J236</f>
        <v>0</v>
      </c>
      <c r="N236" s="163">
        <f ca="1">L236/Cost_Ingredients!$J$21</f>
        <v>0</v>
      </c>
      <c r="O236" s="163">
        <f ca="1">M236/Cost_Ingredients!$J$21</f>
        <v>0</v>
      </c>
      <c r="P236" s="151"/>
    </row>
    <row r="237" spans="3:16" s="23" customFormat="1" outlineLevel="1">
      <c r="D237" s="746">
        <v>1</v>
      </c>
      <c r="E237" s="746"/>
      <c r="F237" s="746"/>
      <c r="G237" s="749"/>
      <c r="H237" s="151"/>
      <c r="I237" s="159">
        <f ca="1">OFFSET(Cost_Ingredients!$M$146,D237,0)</f>
        <v>0</v>
      </c>
      <c r="J237" s="64">
        <v>0</v>
      </c>
      <c r="L237" s="162">
        <f ca="1">OFFSET(Cost_Ingredients!$N$146,D237,0)*J237</f>
        <v>0</v>
      </c>
      <c r="M237" s="162">
        <f ca="1">OFFSET(Cost_Ingredients!$O$146,D237,0)*J237</f>
        <v>0</v>
      </c>
      <c r="N237" s="163">
        <f ca="1">L237/Cost_Ingredients!$J$21</f>
        <v>0</v>
      </c>
      <c r="O237" s="163">
        <f ca="1">M237/Cost_Ingredients!$J$21</f>
        <v>0</v>
      </c>
      <c r="P237" s="151"/>
    </row>
    <row r="238" spans="3:16" s="23" customFormat="1" outlineLevel="1">
      <c r="D238" s="746">
        <v>1</v>
      </c>
      <c r="E238" s="746"/>
      <c r="F238" s="746"/>
      <c r="G238" s="749"/>
      <c r="H238" s="151"/>
      <c r="I238" s="159">
        <f ca="1">OFFSET(Cost_Ingredients!$M$146,D238,0)</f>
        <v>0</v>
      </c>
      <c r="J238" s="64">
        <v>0</v>
      </c>
      <c r="L238" s="162">
        <f ca="1">OFFSET(Cost_Ingredients!$N$146,D238,0)*J238</f>
        <v>0</v>
      </c>
      <c r="M238" s="162">
        <f ca="1">OFFSET(Cost_Ingredients!$O$146,D238,0)*J238</f>
        <v>0</v>
      </c>
      <c r="N238" s="163">
        <f ca="1">L238/Cost_Ingredients!$J$21</f>
        <v>0</v>
      </c>
      <c r="O238" s="163">
        <f ca="1">M238/Cost_Ingredients!$J$21</f>
        <v>0</v>
      </c>
      <c r="P238" s="151"/>
    </row>
    <row r="239" spans="3:16" s="23" customFormat="1" outlineLevel="1">
      <c r="D239" s="746">
        <v>1</v>
      </c>
      <c r="E239" s="746"/>
      <c r="F239" s="746"/>
      <c r="G239" s="749"/>
      <c r="H239" s="151"/>
      <c r="I239" s="159">
        <f ca="1">OFFSET(Cost_Ingredients!$M$146,D239,0)</f>
        <v>0</v>
      </c>
      <c r="J239" s="64">
        <v>0</v>
      </c>
      <c r="L239" s="162">
        <f ca="1">OFFSET(Cost_Ingredients!$N$146,D239,0)*J239</f>
        <v>0</v>
      </c>
      <c r="M239" s="162">
        <f ca="1">OFFSET(Cost_Ingredients!$O$146,D239,0)*J239</f>
        <v>0</v>
      </c>
      <c r="N239" s="163">
        <f ca="1">L239/Cost_Ingredients!$J$21</f>
        <v>0</v>
      </c>
      <c r="O239" s="163">
        <f ca="1">M239/Cost_Ingredients!$J$21</f>
        <v>0</v>
      </c>
      <c r="P239" s="151"/>
    </row>
    <row r="240" spans="3:16" s="23" customFormat="1" outlineLevel="1">
      <c r="D240" s="746">
        <v>1</v>
      </c>
      <c r="E240" s="746"/>
      <c r="F240" s="746"/>
      <c r="G240" s="749"/>
      <c r="H240" s="151"/>
      <c r="I240" s="159">
        <f ca="1">OFFSET(Cost_Ingredients!$M$146,D240,0)</f>
        <v>0</v>
      </c>
      <c r="J240" s="64">
        <v>0</v>
      </c>
      <c r="L240" s="162">
        <f ca="1">OFFSET(Cost_Ingredients!$N$146,D240,0)*J240</f>
        <v>0</v>
      </c>
      <c r="M240" s="162">
        <f ca="1">OFFSET(Cost_Ingredients!$O$146,D240,0)*J240</f>
        <v>0</v>
      </c>
      <c r="N240" s="163">
        <f ca="1">L240/Cost_Ingredients!$J$21</f>
        <v>0</v>
      </c>
      <c r="O240" s="163">
        <f ca="1">M240/Cost_Ingredients!$J$21</f>
        <v>0</v>
      </c>
      <c r="P240" s="151"/>
    </row>
    <row r="241" spans="3:16" s="23" customFormat="1" outlineLevel="1">
      <c r="D241" s="746">
        <v>1</v>
      </c>
      <c r="E241" s="746"/>
      <c r="F241" s="746"/>
      <c r="G241" s="749"/>
      <c r="H241" s="151"/>
      <c r="I241" s="159">
        <f ca="1">OFFSET(Cost_Ingredients!$M$146,D241,0)</f>
        <v>0</v>
      </c>
      <c r="J241" s="64">
        <v>0</v>
      </c>
      <c r="L241" s="162">
        <f ca="1">OFFSET(Cost_Ingredients!$N$146,D241,0)*J241</f>
        <v>0</v>
      </c>
      <c r="M241" s="162">
        <f ca="1">OFFSET(Cost_Ingredients!$O$146,D241,0)*J241</f>
        <v>0</v>
      </c>
      <c r="N241" s="163">
        <f ca="1">L241/Cost_Ingredients!$J$21</f>
        <v>0</v>
      </c>
      <c r="O241" s="163">
        <f ca="1">M241/Cost_Ingredients!$J$21</f>
        <v>0</v>
      </c>
      <c r="P241" s="151"/>
    </row>
    <row r="242" spans="3:16" s="23" customFormat="1" outlineLevel="1">
      <c r="D242" s="746">
        <v>1</v>
      </c>
      <c r="E242" s="746"/>
      <c r="F242" s="746"/>
      <c r="G242" s="749"/>
      <c r="H242" s="151"/>
      <c r="I242" s="159">
        <f ca="1">OFFSET(Cost_Ingredients!$M$146,D242,0)</f>
        <v>0</v>
      </c>
      <c r="J242" s="64">
        <v>0</v>
      </c>
      <c r="L242" s="162">
        <f ca="1">OFFSET(Cost_Ingredients!$N$146,D242,0)*J242</f>
        <v>0</v>
      </c>
      <c r="M242" s="162">
        <f ca="1">OFFSET(Cost_Ingredients!$O$146,D242,0)*J242</f>
        <v>0</v>
      </c>
      <c r="N242" s="163">
        <f ca="1">L242/Cost_Ingredients!$J$21</f>
        <v>0</v>
      </c>
      <c r="O242" s="163">
        <f ca="1">M242/Cost_Ingredients!$J$21</f>
        <v>0</v>
      </c>
      <c r="P242" s="151"/>
    </row>
    <row r="243" spans="3:16" s="23" customFormat="1" outlineLevel="1">
      <c r="D243" s="746">
        <v>1</v>
      </c>
      <c r="E243" s="746"/>
      <c r="F243" s="746"/>
      <c r="G243" s="749"/>
      <c r="H243" s="151"/>
      <c r="I243" s="159">
        <f ca="1">OFFSET(Cost_Ingredients!$M$146,D243,0)</f>
        <v>0</v>
      </c>
      <c r="J243" s="64">
        <v>0</v>
      </c>
      <c r="L243" s="162">
        <f ca="1">OFFSET(Cost_Ingredients!$N$146,D243,0)*J243</f>
        <v>0</v>
      </c>
      <c r="M243" s="162">
        <f ca="1">OFFSET(Cost_Ingredients!$O$146,D243,0)*J243</f>
        <v>0</v>
      </c>
      <c r="N243" s="163">
        <f ca="1">L243/Cost_Ingredients!$J$21</f>
        <v>0</v>
      </c>
      <c r="O243" s="163">
        <f ca="1">M243/Cost_Ingredients!$J$21</f>
        <v>0</v>
      </c>
      <c r="P243" s="151"/>
    </row>
    <row r="244" spans="3:16" s="23" customFormat="1" outlineLevel="1">
      <c r="D244" s="746">
        <v>1</v>
      </c>
      <c r="E244" s="746"/>
      <c r="F244" s="746"/>
      <c r="G244" s="749"/>
      <c r="H244" s="151"/>
      <c r="I244" s="159">
        <f ca="1">OFFSET(Cost_Ingredients!$M$146,D244,0)</f>
        <v>0</v>
      </c>
      <c r="J244" s="64">
        <v>0</v>
      </c>
      <c r="L244" s="162">
        <f ca="1">OFFSET(Cost_Ingredients!$N$146,D244,0)*J244</f>
        <v>0</v>
      </c>
      <c r="M244" s="162">
        <f ca="1">OFFSET(Cost_Ingredients!$O$146,D244,0)*J244</f>
        <v>0</v>
      </c>
      <c r="N244" s="163">
        <f ca="1">L244/Cost_Ingredients!$J$21</f>
        <v>0</v>
      </c>
      <c r="O244" s="163">
        <f ca="1">M244/Cost_Ingredients!$J$21</f>
        <v>0</v>
      </c>
      <c r="P244" s="151"/>
    </row>
    <row r="245" spans="3:16" s="23" customFormat="1" outlineLevel="1">
      <c r="D245" s="746">
        <v>1</v>
      </c>
      <c r="E245" s="746"/>
      <c r="F245" s="746"/>
      <c r="G245" s="749"/>
      <c r="H245" s="151"/>
      <c r="I245" s="159">
        <f ca="1">OFFSET(Cost_Ingredients!$M$146,D245,0)</f>
        <v>0</v>
      </c>
      <c r="J245" s="64">
        <v>0</v>
      </c>
      <c r="L245" s="162">
        <f ca="1">OFFSET(Cost_Ingredients!$N$146,D245,0)*J245</f>
        <v>0</v>
      </c>
      <c r="M245" s="162">
        <f ca="1">OFFSET(Cost_Ingredients!$O$146,D245,0)*J245</f>
        <v>0</v>
      </c>
      <c r="N245" s="163">
        <f ca="1">L245/Cost_Ingredients!$J$21</f>
        <v>0</v>
      </c>
      <c r="O245" s="163">
        <f ca="1">M245/Cost_Ingredients!$J$21</f>
        <v>0</v>
      </c>
      <c r="P245" s="151"/>
    </row>
    <row r="246" spans="3:16" s="23" customFormat="1" outlineLevel="1">
      <c r="D246" s="746">
        <v>1</v>
      </c>
      <c r="E246" s="746"/>
      <c r="F246" s="746"/>
      <c r="G246" s="749"/>
      <c r="H246" s="151"/>
      <c r="I246" s="159">
        <f ca="1">OFFSET(Cost_Ingredients!$M$146,D246,0)</f>
        <v>0</v>
      </c>
      <c r="J246" s="64">
        <v>0</v>
      </c>
      <c r="L246" s="162">
        <f ca="1">OFFSET(Cost_Ingredients!$N$146,D246,0)*J246</f>
        <v>0</v>
      </c>
      <c r="M246" s="162">
        <f ca="1">OFFSET(Cost_Ingredients!$O$146,D246,0)*J246</f>
        <v>0</v>
      </c>
      <c r="N246" s="163">
        <f ca="1">L246/Cost_Ingredients!$J$21</f>
        <v>0</v>
      </c>
      <c r="O246" s="163">
        <f ca="1">M246/Cost_Ingredients!$J$21</f>
        <v>0</v>
      </c>
      <c r="P246" s="151"/>
    </row>
    <row r="247" spans="3:16" s="23" customFormat="1" outlineLevel="1">
      <c r="D247" s="746">
        <v>1</v>
      </c>
      <c r="E247" s="746"/>
      <c r="F247" s="746"/>
      <c r="G247" s="749"/>
      <c r="H247" s="151"/>
      <c r="I247" s="159">
        <f ca="1">OFFSET(Cost_Ingredients!$M$146,D247,0)</f>
        <v>0</v>
      </c>
      <c r="J247" s="64">
        <v>0</v>
      </c>
      <c r="L247" s="162">
        <f ca="1">OFFSET(Cost_Ingredients!$N$146,D247,0)*J247</f>
        <v>0</v>
      </c>
      <c r="M247" s="162">
        <f ca="1">OFFSET(Cost_Ingredients!$O$146,D247,0)*J247</f>
        <v>0</v>
      </c>
      <c r="N247" s="163">
        <f ca="1">L247/Cost_Ingredients!$J$21</f>
        <v>0</v>
      </c>
      <c r="O247" s="163">
        <f ca="1">M247/Cost_Ingredients!$J$21</f>
        <v>0</v>
      </c>
      <c r="P247" s="151"/>
    </row>
    <row r="248" spans="3:16" s="23" customFormat="1" outlineLevel="1">
      <c r="D248" s="746">
        <v>1</v>
      </c>
      <c r="E248" s="746"/>
      <c r="F248" s="746"/>
      <c r="G248" s="749"/>
      <c r="H248" s="151"/>
      <c r="I248" s="159">
        <f ca="1">OFFSET(Cost_Ingredients!$M$146,D248,0)</f>
        <v>0</v>
      </c>
      <c r="J248" s="64">
        <v>0</v>
      </c>
      <c r="L248" s="162">
        <f ca="1">OFFSET(Cost_Ingredients!$N$146,D248,0)*J248</f>
        <v>0</v>
      </c>
      <c r="M248" s="162">
        <f ca="1">OFFSET(Cost_Ingredients!$O$146,D248,0)*J248</f>
        <v>0</v>
      </c>
      <c r="N248" s="163">
        <f ca="1">L248/Cost_Ingredients!$J$21</f>
        <v>0</v>
      </c>
      <c r="O248" s="163">
        <f ca="1">M248/Cost_Ingredients!$J$21</f>
        <v>0</v>
      </c>
      <c r="P248" s="151"/>
    </row>
    <row r="249" spans="3:16" s="23" customFormat="1" outlineLevel="1">
      <c r="D249" s="746">
        <v>1</v>
      </c>
      <c r="E249" s="746"/>
      <c r="F249" s="746"/>
      <c r="G249" s="749"/>
      <c r="H249" s="172"/>
      <c r="I249" s="159">
        <f ca="1">OFFSET(Cost_Ingredients!$M$146,D249,0)</f>
        <v>0</v>
      </c>
      <c r="J249" s="173">
        <v>0</v>
      </c>
      <c r="L249" s="162">
        <f ca="1">OFFSET(Cost_Ingredients!$N$146,D249,0)*J249</f>
        <v>0</v>
      </c>
      <c r="M249" s="162">
        <f ca="1">OFFSET(Cost_Ingredients!$O$146,D249,0)*J249</f>
        <v>0</v>
      </c>
      <c r="N249" s="163">
        <f ca="1">L249/Cost_Ingredients!$J$21</f>
        <v>0</v>
      </c>
      <c r="O249" s="163">
        <f ca="1">M249/Cost_Ingredients!$J$21</f>
        <v>0</v>
      </c>
      <c r="P249" s="172"/>
    </row>
    <row r="250" spans="3:16" s="23" customFormat="1">
      <c r="D250" s="754" t="str">
        <f t="shared" ref="D250" si="3">"Subtotal - "&amp;C233</f>
        <v>Subtotal - Other Direct Costs (Recurrent)</v>
      </c>
      <c r="E250" s="754"/>
      <c r="F250" s="754"/>
      <c r="G250" s="754"/>
      <c r="H250" s="156"/>
      <c r="I250" s="156"/>
      <c r="J250" s="69"/>
      <c r="L250" s="255">
        <f ca="1">SUM(L235:L249)</f>
        <v>0</v>
      </c>
      <c r="M250" s="255">
        <f ca="1">SUM(M235:M249)</f>
        <v>0</v>
      </c>
      <c r="N250" s="258">
        <f ca="1">SUM(N235:N249)</f>
        <v>0</v>
      </c>
      <c r="O250" s="258">
        <f ca="1">SUM(O235:O249)</f>
        <v>0</v>
      </c>
      <c r="P250" s="156"/>
    </row>
    <row r="252" spans="3:16" ht="15" thickBot="1">
      <c r="C252" s="70" t="str">
        <f>C173&amp;" -Cost per Activity"</f>
        <v>Detailed Cost Estimate: Routine Immunization by a Satellite Outreach Nurse -Cost per Activity</v>
      </c>
      <c r="L252" s="191">
        <f ca="1">SUM(L193,L212,L231,L250)</f>
        <v>0</v>
      </c>
      <c r="M252" s="191">
        <f ca="1">SUM(M193,M212,M231,M250)</f>
        <v>41.83806818181818</v>
      </c>
      <c r="N252" s="262">
        <f ca="1">SUM(N193,N212,N231,N250)</f>
        <v>0</v>
      </c>
      <c r="O252" s="262">
        <f ca="1">SUM(O193,O212,O231,O250)</f>
        <v>0.27892045454545455</v>
      </c>
    </row>
    <row r="253" spans="3:16" ht="15" thickTop="1">
      <c r="C253" s="20"/>
      <c r="D253" s="20"/>
      <c r="E253" s="20"/>
      <c r="F253" s="20"/>
      <c r="G253" s="20"/>
      <c r="H253" s="20"/>
      <c r="I253" s="20"/>
      <c r="J253" s="20"/>
      <c r="K253" s="20"/>
      <c r="L253" s="20"/>
      <c r="M253" s="20"/>
      <c r="N253" s="20"/>
      <c r="O253" s="20"/>
      <c r="P253" s="20"/>
    </row>
  </sheetData>
  <mergeCells count="253">
    <mergeCell ref="D21:G21"/>
    <mergeCell ref="D22:G22"/>
    <mergeCell ref="D23:G23"/>
    <mergeCell ref="D24:G24"/>
    <mergeCell ref="B3:F3"/>
    <mergeCell ref="D47:G47"/>
    <mergeCell ref="D29:G29"/>
    <mergeCell ref="D28:G28"/>
    <mergeCell ref="D13:G13"/>
    <mergeCell ref="D14:G14"/>
    <mergeCell ref="D15:G15"/>
    <mergeCell ref="D16:G16"/>
    <mergeCell ref="D17:G17"/>
    <mergeCell ref="D34:G34"/>
    <mergeCell ref="D35:G35"/>
    <mergeCell ref="D36:G36"/>
    <mergeCell ref="D37:G37"/>
    <mergeCell ref="D18:G18"/>
    <mergeCell ref="D19:G19"/>
    <mergeCell ref="D20:G20"/>
    <mergeCell ref="D43:G43"/>
    <mergeCell ref="D44:G44"/>
    <mergeCell ref="D45:G45"/>
    <mergeCell ref="D25:G25"/>
    <mergeCell ref="D26:G26"/>
    <mergeCell ref="D27:G27"/>
    <mergeCell ref="D32:G32"/>
    <mergeCell ref="H32:I32"/>
    <mergeCell ref="D48:G48"/>
    <mergeCell ref="H33:I33"/>
    <mergeCell ref="H34:I34"/>
    <mergeCell ref="H35:I35"/>
    <mergeCell ref="H36:I36"/>
    <mergeCell ref="H37:I37"/>
    <mergeCell ref="H38:I38"/>
    <mergeCell ref="H39:I39"/>
    <mergeCell ref="H40:I40"/>
    <mergeCell ref="H42:I42"/>
    <mergeCell ref="H41:I41"/>
    <mergeCell ref="H43:I43"/>
    <mergeCell ref="H44:I44"/>
    <mergeCell ref="H45:I45"/>
    <mergeCell ref="H47:I47"/>
    <mergeCell ref="D33:G33"/>
    <mergeCell ref="H46:I46"/>
    <mergeCell ref="D38:G38"/>
    <mergeCell ref="D39:G39"/>
    <mergeCell ref="D40:G40"/>
    <mergeCell ref="D42:G42"/>
    <mergeCell ref="D41:G41"/>
    <mergeCell ref="D80:G80"/>
    <mergeCell ref="D81:G81"/>
    <mergeCell ref="D82:G82"/>
    <mergeCell ref="D46:G46"/>
    <mergeCell ref="D83:G83"/>
    <mergeCell ref="D51:G51"/>
    <mergeCell ref="D52:G52"/>
    <mergeCell ref="D53:G53"/>
    <mergeCell ref="D54:G54"/>
    <mergeCell ref="D55:G55"/>
    <mergeCell ref="D56:G56"/>
    <mergeCell ref="D57:G57"/>
    <mergeCell ref="D58:G58"/>
    <mergeCell ref="D59:G59"/>
    <mergeCell ref="D66:G66"/>
    <mergeCell ref="D94:G94"/>
    <mergeCell ref="D95:G95"/>
    <mergeCell ref="D84:G84"/>
    <mergeCell ref="D62:G62"/>
    <mergeCell ref="D60:G60"/>
    <mergeCell ref="D61:G61"/>
    <mergeCell ref="D63:G63"/>
    <mergeCell ref="D64:G64"/>
    <mergeCell ref="D65:G65"/>
    <mergeCell ref="D67:G67"/>
    <mergeCell ref="D70:G70"/>
    <mergeCell ref="D86:G86"/>
    <mergeCell ref="D71:G71"/>
    <mergeCell ref="D72:G72"/>
    <mergeCell ref="D73:G73"/>
    <mergeCell ref="D74:G74"/>
    <mergeCell ref="D75:G75"/>
    <mergeCell ref="D76:G76"/>
    <mergeCell ref="D77:G77"/>
    <mergeCell ref="D78:G78"/>
    <mergeCell ref="D85:G85"/>
    <mergeCell ref="D79:G79"/>
    <mergeCell ref="D101:G101"/>
    <mergeCell ref="D102:G102"/>
    <mergeCell ref="D103:G103"/>
    <mergeCell ref="D104:G104"/>
    <mergeCell ref="D96:G96"/>
    <mergeCell ref="D97:G97"/>
    <mergeCell ref="D98:G98"/>
    <mergeCell ref="D99:G99"/>
    <mergeCell ref="D100:G100"/>
    <mergeCell ref="D110:G110"/>
    <mergeCell ref="D113:G113"/>
    <mergeCell ref="H113:I113"/>
    <mergeCell ref="D114:G114"/>
    <mergeCell ref="D115:G115"/>
    <mergeCell ref="H114:I114"/>
    <mergeCell ref="H115:I115"/>
    <mergeCell ref="D105:G105"/>
    <mergeCell ref="D106:G106"/>
    <mergeCell ref="D107:G107"/>
    <mergeCell ref="D108:G108"/>
    <mergeCell ref="D109:G109"/>
    <mergeCell ref="D121:G121"/>
    <mergeCell ref="D122:G122"/>
    <mergeCell ref="D123:G123"/>
    <mergeCell ref="D124:G124"/>
    <mergeCell ref="D116:G116"/>
    <mergeCell ref="D117:G117"/>
    <mergeCell ref="D118:G118"/>
    <mergeCell ref="D119:G119"/>
    <mergeCell ref="D120:G120"/>
    <mergeCell ref="H121:I121"/>
    <mergeCell ref="H122:I122"/>
    <mergeCell ref="H123:I123"/>
    <mergeCell ref="H124:I124"/>
    <mergeCell ref="H116:I116"/>
    <mergeCell ref="H117:I117"/>
    <mergeCell ref="H118:I118"/>
    <mergeCell ref="H119:I119"/>
    <mergeCell ref="H120:I120"/>
    <mergeCell ref="D133:G133"/>
    <mergeCell ref="D134:G134"/>
    <mergeCell ref="D135:G135"/>
    <mergeCell ref="D136:G136"/>
    <mergeCell ref="D137:G137"/>
    <mergeCell ref="H125:I125"/>
    <mergeCell ref="H126:I126"/>
    <mergeCell ref="H127:I127"/>
    <mergeCell ref="H128:I128"/>
    <mergeCell ref="D132:G132"/>
    <mergeCell ref="D125:G125"/>
    <mergeCell ref="D126:G126"/>
    <mergeCell ref="D127:G127"/>
    <mergeCell ref="D128:G128"/>
    <mergeCell ref="D129:G129"/>
    <mergeCell ref="D142:G142"/>
    <mergeCell ref="D143:G143"/>
    <mergeCell ref="D144:G144"/>
    <mergeCell ref="D145:G145"/>
    <mergeCell ref="D146:G146"/>
    <mergeCell ref="D138:G138"/>
    <mergeCell ref="D139:G139"/>
    <mergeCell ref="D140:G140"/>
    <mergeCell ref="D141:G141"/>
    <mergeCell ref="D154:G154"/>
    <mergeCell ref="D155:G155"/>
    <mergeCell ref="D156:G156"/>
    <mergeCell ref="D157:G157"/>
    <mergeCell ref="D158:G158"/>
    <mergeCell ref="D147:G147"/>
    <mergeCell ref="D148:G148"/>
    <mergeCell ref="D151:G151"/>
    <mergeCell ref="D152:G152"/>
    <mergeCell ref="D153:G153"/>
    <mergeCell ref="D163:G163"/>
    <mergeCell ref="D164:G164"/>
    <mergeCell ref="D165:G165"/>
    <mergeCell ref="D166:G166"/>
    <mergeCell ref="D167:G167"/>
    <mergeCell ref="D159:G159"/>
    <mergeCell ref="D160:G160"/>
    <mergeCell ref="D161:G161"/>
    <mergeCell ref="D162:G162"/>
    <mergeCell ref="D182:G182"/>
    <mergeCell ref="D183:G183"/>
    <mergeCell ref="D184:G184"/>
    <mergeCell ref="D185:G185"/>
    <mergeCell ref="D177:G177"/>
    <mergeCell ref="D178:G178"/>
    <mergeCell ref="D179:G179"/>
    <mergeCell ref="D180:G180"/>
    <mergeCell ref="D181:G181"/>
    <mergeCell ref="D191:G191"/>
    <mergeCell ref="D192:G192"/>
    <mergeCell ref="D193:G193"/>
    <mergeCell ref="D196:G196"/>
    <mergeCell ref="H196:I196"/>
    <mergeCell ref="D186:G186"/>
    <mergeCell ref="D187:G187"/>
    <mergeCell ref="D188:G188"/>
    <mergeCell ref="D189:G189"/>
    <mergeCell ref="D190:G190"/>
    <mergeCell ref="D210:G210"/>
    <mergeCell ref="D202:G202"/>
    <mergeCell ref="D203:G203"/>
    <mergeCell ref="D204:G204"/>
    <mergeCell ref="D205:G205"/>
    <mergeCell ref="D197:G197"/>
    <mergeCell ref="D198:G198"/>
    <mergeCell ref="D199:G199"/>
    <mergeCell ref="D200:G200"/>
    <mergeCell ref="D201:G201"/>
    <mergeCell ref="H210:I210"/>
    <mergeCell ref="H211:I211"/>
    <mergeCell ref="D215:G215"/>
    <mergeCell ref="D216:G216"/>
    <mergeCell ref="D217:G217"/>
    <mergeCell ref="D211:G211"/>
    <mergeCell ref="D212:G212"/>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D206:G206"/>
    <mergeCell ref="D207:G207"/>
    <mergeCell ref="D208:G208"/>
    <mergeCell ref="D209:G209"/>
    <mergeCell ref="D223:G223"/>
    <mergeCell ref="D224:G224"/>
    <mergeCell ref="D225:G225"/>
    <mergeCell ref="D226:G226"/>
    <mergeCell ref="D218:G218"/>
    <mergeCell ref="D219:G219"/>
    <mergeCell ref="D220:G220"/>
    <mergeCell ref="D221:G221"/>
    <mergeCell ref="D222:G222"/>
    <mergeCell ref="D234:G234"/>
    <mergeCell ref="D235:G235"/>
    <mergeCell ref="D236:G236"/>
    <mergeCell ref="D237:G237"/>
    <mergeCell ref="D238:G238"/>
    <mergeCell ref="D227:G227"/>
    <mergeCell ref="D228:G228"/>
    <mergeCell ref="D229:G229"/>
    <mergeCell ref="D230:G230"/>
    <mergeCell ref="D231:G231"/>
    <mergeCell ref="D248:G248"/>
    <mergeCell ref="D249:G249"/>
    <mergeCell ref="D250:G250"/>
    <mergeCell ref="D243:G243"/>
    <mergeCell ref="D244:G244"/>
    <mergeCell ref="D245:G245"/>
    <mergeCell ref="D246:G246"/>
    <mergeCell ref="D247:G247"/>
    <mergeCell ref="D239:G239"/>
    <mergeCell ref="D240:G240"/>
    <mergeCell ref="D241:G241"/>
    <mergeCell ref="D242:G242"/>
  </mergeCells>
  <dataValidations disablePrompts="1" count="7">
    <dataValidation type="whole" showDropDown="1" showErrorMessage="1" errorTitle="Drop Down Box Cell Link" error="The value in a drop down box cell link must be a whole number within the control's lookup range rows." sqref="I178:I192 I95:I109 I14:I28" xr:uid="{00000000-0002-0000-1D00-000000000000}">
      <formula1>1</formula1>
      <formula2>ROWS(LU_FLU_Personnel_Unit_Cost_Categories)</formula2>
    </dataValidation>
    <dataValidation type="decimal" operator="greaterThanOrEqual" allowBlank="1" showDropDown="1" showErrorMessage="1" errorTitle="Invalid Assumption" error="Assumption must be a value greater than or equal to zero." sqref="J235:J249 J216:J230 J178:J192 J152:J166 J133:J147 J95:J109 J71:J85 J52:J66 J14:J28" xr:uid="{00000000-0002-0000-1D00-000001000000}">
      <formula1>0</formula1>
    </dataValidation>
    <dataValidation type="whole" showDropDown="1" showErrorMessage="1" errorTitle="Drop Down Box Cell Link" error="The value in a drop down box cell link must be a whole number within the control's lookup range rows." sqref="D114:D128 D33:D47 D197:D211" xr:uid="{00000000-0002-0000-1D00-000002000000}">
      <formula1>1</formula1>
      <formula2>ROWS(LU_FLU_RECC_PRICES_GROUP_C)</formula2>
    </dataValidation>
    <dataValidation type="custom" showErrorMessage="1" errorTitle="Invalid Assumption" error="Assumption must be a number." sqref="J197:J211 J114:J128 J33:J47" xr:uid="{00000000-0002-0000-1D00-000003000000}">
      <formula1>NOT(ISERROR(J33/1))</formula1>
    </dataValidation>
    <dataValidation type="whole" showDropDown="1" showErrorMessage="1" errorTitle="Drop Down Box Cell Link" error="The value in a drop down box cell link must be a whole number within the control's lookup range rows." sqref="D133:D147 D52:D66 D216:D230" xr:uid="{00000000-0002-0000-1D00-000004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D152:D166 D71:D85 D235:D249" xr:uid="{00000000-0002-0000-1D00-000005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178:G192 D95:G109 D14:G28" xr:uid="{00000000-0002-0000-1D00-000006000000}">
      <formula1>1</formula1>
      <formula2>ROWS(LU_FLU_RECC_PRICES_GROUP_A)</formula2>
    </dataValidation>
  </dataValidations>
  <hyperlinks>
    <hyperlink ref="A4" location="$B$5" tooltip="Go to Top of Sheet" display="$B$5" xr:uid="{00000000-0004-0000-1D00-000000000000}"/>
    <hyperlink ref="B4" location="HL_Sheet_Main_30" tooltip="Go to Previous Sheet" display="HL_Sheet_Main_30" xr:uid="{00000000-0004-0000-1D00-000001000000}"/>
    <hyperlink ref="C4" location="HL_Sheet_Main_33" tooltip="Go to Next Sheet" display="HL_Sheet_Main_33" xr:uid="{00000000-0004-0000-1D00-000002000000}"/>
    <hyperlink ref="B3" location="HL_Home" tooltip="Go to Table of Contents" display="HL_Home" xr:uid="{00000000-0004-0000-1D00-000003000000}"/>
    <hyperlink ref="D4" location="HL_Err_Chk" tooltip="Go to Error Checks" display="HL_Err_Chk" xr:uid="{00000000-0004-0000-1D00-000004000000}"/>
    <hyperlink ref="E4" location="HL_Sens_Chk" tooltip="Go to Sensitivity Checks" display="HL_Sens_Chk" xr:uid="{00000000-0004-0000-1D00-000005000000}"/>
    <hyperlink ref="F4" location="HL_Alt_Chk" tooltip="Go to Alert Checks" display="HL_Alt_Chk" xr:uid="{00000000-0004-0000-1D00-000006000000}"/>
  </hyperlinks>
  <pageMargins left="0.4" right="0.4" top="0.6" bottom="1" header="0" footer="0.3"/>
  <pageSetup orientation="landscape" horizontalDpi="4294967292" verticalDpi="0" r:id="rId1"/>
  <headerFooter>
    <oddFooter>&amp;L&amp;F
&amp;A
Printed: &amp;T on &amp;D&amp;C&amp;",Bold"Sheet 3.1.g.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1821" r:id="rId4" name="bpmDropDownFLU11">
              <controlPr defaultSize="0" autoFill="0" autoPict="0">
                <anchor moveWithCells="1">
                  <from>
                    <xdr:col>3</xdr:col>
                    <xdr:colOff>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81822" r:id="rId5" name="bpmDropDownFLU12">
              <controlPr defaultSize="0" autoFill="0" autoPict="0">
                <anchor moveWithCells="1">
                  <from>
                    <xdr:col>3</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81823" r:id="rId6" name="bpmDropDownFLU13">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81824" r:id="rId7" name="bpmDropDownFLU14">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81825" r:id="rId8" name="bpmDropDownFLU15">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81826" r:id="rId9" name="bpmDropDownFLU16">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281827" r:id="rId10" name="bpmDropDownFLU17">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281828" r:id="rId11" name="bpmDropDownFLU18">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281830" r:id="rId12" name="bpmDropDownFLU20">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281831" r:id="rId13" name="bpmDropDownFLU21">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281832" r:id="rId14" name="bpmDropDownFLU22">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281833" r:id="rId15" name="bpmDropDownFLU23">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281834" r:id="rId16" name="bpmDropDownFLU24">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281835" r:id="rId17" name="bpmDropDownFLU27">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281851" r:id="rId18" name="bpmDropDownFLU53">
              <controlPr defaultSize="0" autoFill="0" autoPict="0">
                <anchor moveWithCells="1">
                  <from>
                    <xdr:col>3</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281852" r:id="rId19" name="bpmDropDownFLU54">
              <controlPr defaultSize="0" autoFill="0" autoPict="0">
                <anchor moveWithCells="1">
                  <from>
                    <xdr:col>3</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281853" r:id="rId20" name="bpmDropDownFLU55">
              <controlPr defaultSize="0" autoFill="0" autoPict="0">
                <anchor moveWithCells="1">
                  <from>
                    <xdr:col>3</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281854" r:id="rId21" name="bpmDropDownFLU56">
              <controlPr defaultSize="0" autoFill="0" autoPict="0">
                <anchor moveWithCells="1">
                  <from>
                    <xdr:col>3</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281855" r:id="rId22" name="bpmDropDownFLU58">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281856" r:id="rId23" name="bpmDropDownFLU60">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281857" r:id="rId24" name="bpmDropDownFLU61">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1858" r:id="rId25" name="bpmDropDownFLU62">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281860" r:id="rId26" name="bpmDropDownFLU66">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281861" r:id="rId27" name="bpmDropDownFLU67">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281862" r:id="rId28" name="bpmDropDownFLU68">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281863" r:id="rId29" name="bpmDropDownFLU114">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281864" r:id="rId30" name="bpmDropDownFLU121">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1865" r:id="rId31" name="bpmDropDownFLU122">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281866" r:id="rId32" name="bpmDropDownFLU123">
              <controlPr defaultSize="0" autoFill="0" autoPict="0">
                <anchor moveWithCells="1">
                  <from>
                    <xdr:col>3</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281867" r:id="rId33" name="bpmDropDownFLU124">
              <controlPr defaultSize="0" autoFill="0" autoPict="0">
                <anchor moveWithCells="1">
                  <from>
                    <xdr:col>3</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281868" r:id="rId34" name="bpmDropDownFLU125">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81869" r:id="rId35" name="bpmDropDownFLU126">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281870" r:id="rId36" name="bpmDropDownFLU127">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281871" r:id="rId37" name="bpmDropDownFLU128">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1872" r:id="rId38" name="bpmDropDownFLU129">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281873" r:id="rId39" name="bpmDropDownFLU130">
              <controlPr defaultSize="0" autoFill="0" autoPict="0">
                <anchor moveWithCells="1">
                  <from>
                    <xdr:col>3</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281875" r:id="rId40" name="bpmDropDownFLU132">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281876" r:id="rId41" name="bpmDropDownFLU137">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281877" r:id="rId42" name="bpmDropDownFLU138">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281878" r:id="rId43" name="bpmDropDownFLU139">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281879" r:id="rId44" name="bpmDropDownFLU140">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281880" r:id="rId45" name="bpmDropDownFLU141">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281881" r:id="rId46" name="bpmDropDownFLU142">
              <controlPr defaultSize="0" autoFill="0" autoPict="0">
                <anchor moveWithCells="1">
                  <from>
                    <xdr:col>3</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281882" r:id="rId47" name="bpmDropDownFLU143">
              <controlPr defaultSize="0" autoFill="0" autoPict="0">
                <anchor moveWithCells="1">
                  <from>
                    <xdr:col>3</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281883" r:id="rId48" name="bpmDropDownFLU144">
              <controlPr defaultSize="0" autoFill="0" autoPict="0">
                <anchor moveWithCells="1">
                  <from>
                    <xdr:col>3</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281884" r:id="rId49" name="bpmDropDownFLU145">
              <controlPr defaultSize="0" autoFill="0" autoPict="0">
                <anchor moveWithCells="1">
                  <from>
                    <xdr:col>3</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281885" r:id="rId50" name="bpmDropDownFLU146">
              <controlPr defaultSize="0" autoFill="0" autoPict="0">
                <anchor moveWithCells="1">
                  <from>
                    <xdr:col>3</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281886" r:id="rId51" name="bpmDropDownFLU147">
              <controlPr defaultSize="0" autoFill="0" autoPict="0">
                <anchor moveWithCells="1">
                  <from>
                    <xdr:col>3</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281887" r:id="rId52" name="bpmDropDownFLU149">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281888" r:id="rId53" name="bpmDropDownFLU150">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281890" r:id="rId54" name="bpmDropDownFLU161">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281891" r:id="rId55" name="bpmDropDownFLU162">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281892" r:id="rId56" name="bpmDropDownFLU163">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281893" r:id="rId57" name="bpmDropDownFLU165">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281894" r:id="rId58" name="bpmDropDownFLU367">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281895" r:id="rId59" name="bpmDropDownFLU368">
              <controlPr defaultSize="0" autoFill="0" autoPict="0">
                <anchor moveWithCells="1">
                  <from>
                    <xdr:col>3</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281896" r:id="rId60" name="bpmDropDownFLU369">
              <controlPr defaultSize="0" autoFill="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81897" r:id="rId61" name="bpmDropDownFLU370">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81898" r:id="rId62" name="bpmDropDownFLU371">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281899" r:id="rId63" name="bpmDropDownFLU372">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281900" r:id="rId64" name="bpmDropDownFLU373">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281901" r:id="rId65" name="bpmDropDownFLU374">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281902" r:id="rId66" name="bpmDropDownFLU375">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81903" r:id="rId67" name="bpmDropDownFLU376">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81905" r:id="rId68" name="bpmDropDownFLU378">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81906" r:id="rId69" name="bpmDropDownFLU379">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81907" r:id="rId70" name="bpmDropDownFLU380">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81908" r:id="rId71" name="bpmDropDownFLU381">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81909" r:id="rId72" name="bpmDropDownFLU382">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81910" r:id="rId73" name="bpmDropDownFLU383">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81914" r:id="rId74" name="bpmDropDownFLU418">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281915" r:id="rId75" name="bpmDropDownFLU419">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81916" r:id="rId76" name="bpmDropDownFLU420">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81917" r:id="rId77" name="bpmDropDownFLU421">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281918" r:id="rId78" name="bpmDropDownFLU422">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281919" r:id="rId79" name="bpmDropDownFLU1107">
              <controlPr defaultSize="0" autoFill="0" autoPict="0">
                <anchor moveWithCells="1">
                  <from>
                    <xdr:col>3</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281920" r:id="rId80" name="bpmDropDownFLU1108">
              <controlPr defaultSize="0" autoFill="0" autoPict="0">
                <anchor moveWithCells="1">
                  <from>
                    <xdr:col>3</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281921" r:id="rId81" name="bpmDropDownFLU1109">
              <controlPr defaultSize="0" autoFill="0" autoPict="0">
                <anchor moveWithCells="1">
                  <from>
                    <xdr:col>3</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281922" r:id="rId82" name="bpmDropDownFLU1110">
              <controlPr defaultSize="0" autoFill="0" autoPict="0">
                <anchor moveWithCells="1">
                  <from>
                    <xdr:col>3</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281923" r:id="rId83" name="bpmDropDownFLU1111">
              <controlPr defaultSize="0" autoFill="0" autoPict="0">
                <anchor moveWithCells="1">
                  <from>
                    <xdr:col>3</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281924" r:id="rId84" name="bpmDropDownFLU1112">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281925" r:id="rId85" name="bpmDropDownFLU1113">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281926" r:id="rId86" name="bpmDropDownFLU1114">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281928" r:id="rId87" name="bpmDropDownFLU1116">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281929" r:id="rId88" name="bpmDropDownFLU1117">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281930" r:id="rId89" name="bpmDropDownFLU1118">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281931" r:id="rId90" name="bpmDropDownFLU1119">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281932" r:id="rId91" name="bpmDropDownFLU1120">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281933" r:id="rId92" name="bpmDropDownFLU1121">
              <controlPr defaultSize="0" autoFill="0" autoPict="0">
                <anchor moveWithCells="1">
                  <from>
                    <xdr:col>3</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281934" r:id="rId93" name="bpmDropDownFLU1122">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281935" r:id="rId94" name="bpmDropDownFLU1123">
              <controlPr defaultSize="0" autoFill="0" autoPict="0">
                <anchor moveWithCells="1">
                  <from>
                    <xdr:col>3</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281936" r:id="rId95" name="bpmDropDownFLU1124">
              <controlPr defaultSize="0" autoFill="0" autoPict="0">
                <anchor moveWithCells="1">
                  <from>
                    <xdr:col>3</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281937" r:id="rId96" name="bpmDropDownFLU1125">
              <controlPr defaultSize="0" autoFill="0" autoPict="0">
                <anchor moveWithCells="1">
                  <from>
                    <xdr:col>3</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281938" r:id="rId97" name="bpmDropDownFLU1126">
              <controlPr defaultSize="0" autoFill="0" autoPict="0">
                <anchor moveWithCells="1">
                  <from>
                    <xdr:col>3</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281939" r:id="rId98" name="bpmDropDownFLU1127">
              <controlPr defaultSize="0" autoFill="0" autoPict="0">
                <anchor moveWithCells="1">
                  <from>
                    <xdr:col>3</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281940" r:id="rId99" name="bpmDropDownFLU1143">
              <controlPr defaultSize="0" autoFill="0" autoPict="0">
                <anchor moveWithCells="1">
                  <from>
                    <xdr:col>3</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281941" r:id="rId100" name="bpmDropDownFLU1144">
              <controlPr defaultSize="0" autoFill="0" autoPict="0">
                <anchor moveWithCells="1">
                  <from>
                    <xdr:col>3</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281942" r:id="rId101" name="bpmDropDownFLU1145">
              <controlPr defaultSize="0" autoFill="0" autoPict="0">
                <anchor moveWithCells="1">
                  <from>
                    <xdr:col>3</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281944" r:id="rId102" name="bpmDropDownFLU1147">
              <controlPr defaultSize="0" autoFill="0" autoPict="0">
                <anchor moveWithCells="1">
                  <from>
                    <xdr:col>3</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281945" r:id="rId103" name="bpmDropDownFLU1148">
              <controlPr defaultSize="0" autoFill="0" autoPict="0">
                <anchor moveWithCells="1">
                  <from>
                    <xdr:col>3</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281946" r:id="rId104" name="bpmDropDownFLU1149">
              <controlPr defaultSize="0" autoFill="0" autoPict="0">
                <anchor moveWithCells="1">
                  <from>
                    <xdr:col>3</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281947" r:id="rId105" name="bpmDropDownFLU1150">
              <controlPr defaultSize="0" autoFill="0" autoPict="0">
                <anchor moveWithCells="1">
                  <from>
                    <xdr:col>3</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281948" r:id="rId106" name="bpmDropDownFLU1151">
              <controlPr defaultSize="0" autoFill="0" autoPict="0">
                <anchor moveWithCells="1">
                  <from>
                    <xdr:col>3</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281949" r:id="rId107" name="bpmDropDownFLU1152">
              <controlPr defaultSize="0" autoFill="0" autoPict="0">
                <anchor moveWithCells="1">
                  <from>
                    <xdr:col>3</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281950" r:id="rId108" name="bpmDropDownFLU1153">
              <controlPr defaultSize="0" autoFill="0" autoPict="0">
                <anchor moveWithCells="1">
                  <from>
                    <xdr:col>3</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281951" r:id="rId109" name="bpmDropDownFLU1154">
              <controlPr defaultSize="0" autoFill="0" autoPict="0">
                <anchor moveWithCells="1">
                  <from>
                    <xdr:col>8</xdr:col>
                    <xdr:colOff>0</xdr:colOff>
                    <xdr:row>177</xdr:row>
                    <xdr:rowOff>0</xdr:rowOff>
                  </from>
                  <to>
                    <xdr:col>9</xdr:col>
                    <xdr:colOff>0</xdr:colOff>
                    <xdr:row>178</xdr:row>
                    <xdr:rowOff>0</xdr:rowOff>
                  </to>
                </anchor>
              </controlPr>
            </control>
          </mc:Choice>
        </mc:AlternateContent>
        <mc:AlternateContent xmlns:mc="http://schemas.openxmlformats.org/markup-compatibility/2006">
          <mc:Choice Requires="x14">
            <control shapeId="281952" r:id="rId110" name="bpmDropDownFLU1155">
              <controlPr defaultSize="0" autoFill="0" autoPict="0">
                <anchor moveWithCells="1">
                  <from>
                    <xdr:col>8</xdr:col>
                    <xdr:colOff>0</xdr:colOff>
                    <xdr:row>178</xdr:row>
                    <xdr:rowOff>0</xdr:rowOff>
                  </from>
                  <to>
                    <xdr:col>9</xdr:col>
                    <xdr:colOff>0</xdr:colOff>
                    <xdr:row>179</xdr:row>
                    <xdr:rowOff>0</xdr:rowOff>
                  </to>
                </anchor>
              </controlPr>
            </control>
          </mc:Choice>
        </mc:AlternateContent>
        <mc:AlternateContent xmlns:mc="http://schemas.openxmlformats.org/markup-compatibility/2006">
          <mc:Choice Requires="x14">
            <control shapeId="281953" r:id="rId111" name="bpmDropDownFLU1156">
              <controlPr defaultSize="0" autoFill="0" autoPict="0">
                <anchor moveWithCells="1">
                  <from>
                    <xdr:col>8</xdr:col>
                    <xdr:colOff>0</xdr:colOff>
                    <xdr:row>179</xdr:row>
                    <xdr:rowOff>0</xdr:rowOff>
                  </from>
                  <to>
                    <xdr:col>9</xdr:col>
                    <xdr:colOff>0</xdr:colOff>
                    <xdr:row>180</xdr:row>
                    <xdr:rowOff>0</xdr:rowOff>
                  </to>
                </anchor>
              </controlPr>
            </control>
          </mc:Choice>
        </mc:AlternateContent>
        <mc:AlternateContent xmlns:mc="http://schemas.openxmlformats.org/markup-compatibility/2006">
          <mc:Choice Requires="x14">
            <control shapeId="281954" r:id="rId112" name="bpmDropDownFLU1157">
              <controlPr defaultSize="0" autoFill="0" autoPict="0">
                <anchor moveWithCells="1">
                  <from>
                    <xdr:col>8</xdr:col>
                    <xdr:colOff>0</xdr:colOff>
                    <xdr:row>180</xdr:row>
                    <xdr:rowOff>0</xdr:rowOff>
                  </from>
                  <to>
                    <xdr:col>9</xdr:col>
                    <xdr:colOff>0</xdr:colOff>
                    <xdr:row>181</xdr:row>
                    <xdr:rowOff>0</xdr:rowOff>
                  </to>
                </anchor>
              </controlPr>
            </control>
          </mc:Choice>
        </mc:AlternateContent>
        <mc:AlternateContent xmlns:mc="http://schemas.openxmlformats.org/markup-compatibility/2006">
          <mc:Choice Requires="x14">
            <control shapeId="281955" r:id="rId113" name="bpmDropDownFLU1158">
              <controlPr defaultSize="0" autoFill="0" autoPict="0">
                <anchor moveWithCells="1">
                  <from>
                    <xdr:col>8</xdr:col>
                    <xdr:colOff>0</xdr:colOff>
                    <xdr:row>181</xdr:row>
                    <xdr:rowOff>0</xdr:rowOff>
                  </from>
                  <to>
                    <xdr:col>9</xdr:col>
                    <xdr:colOff>0</xdr:colOff>
                    <xdr:row>182</xdr:row>
                    <xdr:rowOff>0</xdr:rowOff>
                  </to>
                </anchor>
              </controlPr>
            </control>
          </mc:Choice>
        </mc:AlternateContent>
        <mc:AlternateContent xmlns:mc="http://schemas.openxmlformats.org/markup-compatibility/2006">
          <mc:Choice Requires="x14">
            <control shapeId="281956" r:id="rId114" name="bpmDropDownFLU1159">
              <controlPr defaultSize="0" autoFill="0" autoPict="0">
                <anchor moveWithCells="1">
                  <from>
                    <xdr:col>8</xdr:col>
                    <xdr:colOff>0</xdr:colOff>
                    <xdr:row>182</xdr:row>
                    <xdr:rowOff>0</xdr:rowOff>
                  </from>
                  <to>
                    <xdr:col>9</xdr:col>
                    <xdr:colOff>0</xdr:colOff>
                    <xdr:row>183</xdr:row>
                    <xdr:rowOff>0</xdr:rowOff>
                  </to>
                </anchor>
              </controlPr>
            </control>
          </mc:Choice>
        </mc:AlternateContent>
        <mc:AlternateContent xmlns:mc="http://schemas.openxmlformats.org/markup-compatibility/2006">
          <mc:Choice Requires="x14">
            <control shapeId="281957" r:id="rId115" name="bpmDropDownFLU1160">
              <controlPr defaultSize="0" autoFill="0" autoPict="0">
                <anchor moveWithCells="1">
                  <from>
                    <xdr:col>8</xdr:col>
                    <xdr:colOff>0</xdr:colOff>
                    <xdr:row>183</xdr:row>
                    <xdr:rowOff>0</xdr:rowOff>
                  </from>
                  <to>
                    <xdr:col>9</xdr:col>
                    <xdr:colOff>0</xdr:colOff>
                    <xdr:row>184</xdr:row>
                    <xdr:rowOff>0</xdr:rowOff>
                  </to>
                </anchor>
              </controlPr>
            </control>
          </mc:Choice>
        </mc:AlternateContent>
        <mc:AlternateContent xmlns:mc="http://schemas.openxmlformats.org/markup-compatibility/2006">
          <mc:Choice Requires="x14">
            <control shapeId="281958" r:id="rId116" name="bpmDropDownFLU1161">
              <controlPr defaultSize="0" autoFill="0" autoPict="0">
                <anchor moveWithCells="1">
                  <from>
                    <xdr:col>8</xdr:col>
                    <xdr:colOff>0</xdr:colOff>
                    <xdr:row>184</xdr:row>
                    <xdr:rowOff>0</xdr:rowOff>
                  </from>
                  <to>
                    <xdr:col>9</xdr:col>
                    <xdr:colOff>0</xdr:colOff>
                    <xdr:row>185</xdr:row>
                    <xdr:rowOff>0</xdr:rowOff>
                  </to>
                </anchor>
              </controlPr>
            </control>
          </mc:Choice>
        </mc:AlternateContent>
        <mc:AlternateContent xmlns:mc="http://schemas.openxmlformats.org/markup-compatibility/2006">
          <mc:Choice Requires="x14">
            <control shapeId="281960" r:id="rId117" name="bpmDropDownFLU1163">
              <controlPr defaultSize="0" autoFill="0" autoPict="0">
                <anchor moveWithCells="1">
                  <from>
                    <xdr:col>8</xdr:col>
                    <xdr:colOff>0</xdr:colOff>
                    <xdr:row>185</xdr:row>
                    <xdr:rowOff>0</xdr:rowOff>
                  </from>
                  <to>
                    <xdr:col>9</xdr:col>
                    <xdr:colOff>0</xdr:colOff>
                    <xdr:row>186</xdr:row>
                    <xdr:rowOff>0</xdr:rowOff>
                  </to>
                </anchor>
              </controlPr>
            </control>
          </mc:Choice>
        </mc:AlternateContent>
        <mc:AlternateContent xmlns:mc="http://schemas.openxmlformats.org/markup-compatibility/2006">
          <mc:Choice Requires="x14">
            <control shapeId="281961" r:id="rId118" name="bpmDropDownFLU1164">
              <controlPr defaultSize="0" autoFill="0" autoPict="0">
                <anchor moveWithCells="1">
                  <from>
                    <xdr:col>8</xdr:col>
                    <xdr:colOff>0</xdr:colOff>
                    <xdr:row>186</xdr:row>
                    <xdr:rowOff>0</xdr:rowOff>
                  </from>
                  <to>
                    <xdr:col>9</xdr:col>
                    <xdr:colOff>0</xdr:colOff>
                    <xdr:row>187</xdr:row>
                    <xdr:rowOff>0</xdr:rowOff>
                  </to>
                </anchor>
              </controlPr>
            </control>
          </mc:Choice>
        </mc:AlternateContent>
        <mc:AlternateContent xmlns:mc="http://schemas.openxmlformats.org/markup-compatibility/2006">
          <mc:Choice Requires="x14">
            <control shapeId="281962" r:id="rId119" name="bpmDropDownFLU1165">
              <controlPr defaultSize="0" autoFill="0" autoPict="0">
                <anchor moveWithCells="1">
                  <from>
                    <xdr:col>8</xdr:col>
                    <xdr:colOff>0</xdr:colOff>
                    <xdr:row>187</xdr:row>
                    <xdr:rowOff>0</xdr:rowOff>
                  </from>
                  <to>
                    <xdr:col>9</xdr:col>
                    <xdr:colOff>0</xdr:colOff>
                    <xdr:row>188</xdr:row>
                    <xdr:rowOff>0</xdr:rowOff>
                  </to>
                </anchor>
              </controlPr>
            </control>
          </mc:Choice>
        </mc:AlternateContent>
        <mc:AlternateContent xmlns:mc="http://schemas.openxmlformats.org/markup-compatibility/2006">
          <mc:Choice Requires="x14">
            <control shapeId="281963" r:id="rId120" name="bpmDropDownFLU1166">
              <controlPr defaultSize="0" autoFill="0" autoPict="0">
                <anchor moveWithCells="1">
                  <from>
                    <xdr:col>8</xdr:col>
                    <xdr:colOff>0</xdr:colOff>
                    <xdr:row>188</xdr:row>
                    <xdr:rowOff>0</xdr:rowOff>
                  </from>
                  <to>
                    <xdr:col>9</xdr:col>
                    <xdr:colOff>0</xdr:colOff>
                    <xdr:row>189</xdr:row>
                    <xdr:rowOff>0</xdr:rowOff>
                  </to>
                </anchor>
              </controlPr>
            </control>
          </mc:Choice>
        </mc:AlternateContent>
        <mc:AlternateContent xmlns:mc="http://schemas.openxmlformats.org/markup-compatibility/2006">
          <mc:Choice Requires="x14">
            <control shapeId="281964" r:id="rId121" name="bpmDropDownFLU1167">
              <controlPr defaultSize="0" autoFill="0" autoPict="0">
                <anchor moveWithCells="1">
                  <from>
                    <xdr:col>8</xdr:col>
                    <xdr:colOff>0</xdr:colOff>
                    <xdr:row>189</xdr:row>
                    <xdr:rowOff>0</xdr:rowOff>
                  </from>
                  <to>
                    <xdr:col>9</xdr:col>
                    <xdr:colOff>0</xdr:colOff>
                    <xdr:row>190</xdr:row>
                    <xdr:rowOff>0</xdr:rowOff>
                  </to>
                </anchor>
              </controlPr>
            </control>
          </mc:Choice>
        </mc:AlternateContent>
        <mc:AlternateContent xmlns:mc="http://schemas.openxmlformats.org/markup-compatibility/2006">
          <mc:Choice Requires="x14">
            <control shapeId="281965" r:id="rId122" name="bpmDropDownFLU1168">
              <controlPr defaultSize="0" autoFill="0" autoPict="0">
                <anchor moveWithCells="1">
                  <from>
                    <xdr:col>8</xdr:col>
                    <xdr:colOff>0</xdr:colOff>
                    <xdr:row>190</xdr:row>
                    <xdr:rowOff>0</xdr:rowOff>
                  </from>
                  <to>
                    <xdr:col>9</xdr:col>
                    <xdr:colOff>0</xdr:colOff>
                    <xdr:row>191</xdr:row>
                    <xdr:rowOff>0</xdr:rowOff>
                  </to>
                </anchor>
              </controlPr>
            </control>
          </mc:Choice>
        </mc:AlternateContent>
        <mc:AlternateContent xmlns:mc="http://schemas.openxmlformats.org/markup-compatibility/2006">
          <mc:Choice Requires="x14">
            <control shapeId="281966" r:id="rId123" name="bpmDropDownFLU1169">
              <controlPr defaultSize="0" autoFill="0" autoPict="0">
                <anchor moveWithCells="1">
                  <from>
                    <xdr:col>8</xdr:col>
                    <xdr:colOff>0</xdr:colOff>
                    <xdr:row>191</xdr:row>
                    <xdr:rowOff>0</xdr:rowOff>
                  </from>
                  <to>
                    <xdr:col>9</xdr:col>
                    <xdr:colOff>0</xdr:colOff>
                    <xdr:row>192</xdr:row>
                    <xdr:rowOff>0</xdr:rowOff>
                  </to>
                </anchor>
              </controlPr>
            </control>
          </mc:Choice>
        </mc:AlternateContent>
        <mc:AlternateContent xmlns:mc="http://schemas.openxmlformats.org/markup-compatibility/2006">
          <mc:Choice Requires="x14">
            <control shapeId="281967" r:id="rId124" name="bpmDropDownFLU1170">
              <controlPr defaultSize="0" autoFill="0" autoPict="0">
                <anchor moveWithCells="1">
                  <from>
                    <xdr:col>8</xdr:col>
                    <xdr:colOff>0</xdr:colOff>
                    <xdr:row>94</xdr:row>
                    <xdr:rowOff>0</xdr:rowOff>
                  </from>
                  <to>
                    <xdr:col>9</xdr:col>
                    <xdr:colOff>0</xdr:colOff>
                    <xdr:row>95</xdr:row>
                    <xdr:rowOff>0</xdr:rowOff>
                  </to>
                </anchor>
              </controlPr>
            </control>
          </mc:Choice>
        </mc:AlternateContent>
        <mc:AlternateContent xmlns:mc="http://schemas.openxmlformats.org/markup-compatibility/2006">
          <mc:Choice Requires="x14">
            <control shapeId="281968" r:id="rId125" name="bpmDropDownFLU1171">
              <controlPr defaultSize="0" autoFill="0" autoPict="0">
                <anchor moveWithCells="1">
                  <from>
                    <xdr:col>8</xdr:col>
                    <xdr:colOff>0</xdr:colOff>
                    <xdr:row>95</xdr:row>
                    <xdr:rowOff>0</xdr:rowOff>
                  </from>
                  <to>
                    <xdr:col>9</xdr:col>
                    <xdr:colOff>0</xdr:colOff>
                    <xdr:row>96</xdr:row>
                    <xdr:rowOff>0</xdr:rowOff>
                  </to>
                </anchor>
              </controlPr>
            </control>
          </mc:Choice>
        </mc:AlternateContent>
        <mc:AlternateContent xmlns:mc="http://schemas.openxmlformats.org/markup-compatibility/2006">
          <mc:Choice Requires="x14">
            <control shapeId="281969" r:id="rId126" name="bpmDropDownFLU1172">
              <controlPr defaultSize="0" autoFill="0" autoPict="0">
                <anchor moveWithCells="1">
                  <from>
                    <xdr:col>8</xdr:col>
                    <xdr:colOff>0</xdr:colOff>
                    <xdr:row>96</xdr:row>
                    <xdr:rowOff>0</xdr:rowOff>
                  </from>
                  <to>
                    <xdr:col>9</xdr:col>
                    <xdr:colOff>0</xdr:colOff>
                    <xdr:row>97</xdr:row>
                    <xdr:rowOff>0</xdr:rowOff>
                  </to>
                </anchor>
              </controlPr>
            </control>
          </mc:Choice>
        </mc:AlternateContent>
        <mc:AlternateContent xmlns:mc="http://schemas.openxmlformats.org/markup-compatibility/2006">
          <mc:Choice Requires="x14">
            <control shapeId="281970" r:id="rId127" name="bpmDropDownFLU1193">
              <controlPr defaultSize="0" autoFill="0" autoPict="0">
                <anchor moveWithCells="1">
                  <from>
                    <xdr:col>8</xdr:col>
                    <xdr:colOff>0</xdr:colOff>
                    <xdr:row>97</xdr:row>
                    <xdr:rowOff>0</xdr:rowOff>
                  </from>
                  <to>
                    <xdr:col>9</xdr:col>
                    <xdr:colOff>0</xdr:colOff>
                    <xdr:row>98</xdr:row>
                    <xdr:rowOff>0</xdr:rowOff>
                  </to>
                </anchor>
              </controlPr>
            </control>
          </mc:Choice>
        </mc:AlternateContent>
        <mc:AlternateContent xmlns:mc="http://schemas.openxmlformats.org/markup-compatibility/2006">
          <mc:Choice Requires="x14">
            <control shapeId="281971" r:id="rId128" name="bpmDropDownFLU1194">
              <controlPr defaultSize="0" autoFill="0" autoPict="0">
                <anchor moveWithCells="1">
                  <from>
                    <xdr:col>8</xdr:col>
                    <xdr:colOff>0</xdr:colOff>
                    <xdr:row>98</xdr:row>
                    <xdr:rowOff>0</xdr:rowOff>
                  </from>
                  <to>
                    <xdr:col>9</xdr:col>
                    <xdr:colOff>0</xdr:colOff>
                    <xdr:row>99</xdr:row>
                    <xdr:rowOff>0</xdr:rowOff>
                  </to>
                </anchor>
              </controlPr>
            </control>
          </mc:Choice>
        </mc:AlternateContent>
        <mc:AlternateContent xmlns:mc="http://schemas.openxmlformats.org/markup-compatibility/2006">
          <mc:Choice Requires="x14">
            <control shapeId="281972" r:id="rId129" name="bpmDropDownFLU1195">
              <controlPr defaultSize="0" autoFill="0" autoPict="0">
                <anchor moveWithCells="1">
                  <from>
                    <xdr:col>8</xdr:col>
                    <xdr:colOff>0</xdr:colOff>
                    <xdr:row>99</xdr:row>
                    <xdr:rowOff>0</xdr:rowOff>
                  </from>
                  <to>
                    <xdr:col>9</xdr:col>
                    <xdr:colOff>0</xdr:colOff>
                    <xdr:row>100</xdr:row>
                    <xdr:rowOff>0</xdr:rowOff>
                  </to>
                </anchor>
              </controlPr>
            </control>
          </mc:Choice>
        </mc:AlternateContent>
        <mc:AlternateContent xmlns:mc="http://schemas.openxmlformats.org/markup-compatibility/2006">
          <mc:Choice Requires="x14">
            <control shapeId="281973" r:id="rId130" name="bpmDropDownFLU1196">
              <controlPr defaultSize="0" autoFill="0" autoPict="0">
                <anchor moveWithCells="1">
                  <from>
                    <xdr:col>8</xdr:col>
                    <xdr:colOff>0</xdr:colOff>
                    <xdr:row>100</xdr:row>
                    <xdr:rowOff>0</xdr:rowOff>
                  </from>
                  <to>
                    <xdr:col>9</xdr:col>
                    <xdr:colOff>0</xdr:colOff>
                    <xdr:row>101</xdr:row>
                    <xdr:rowOff>0</xdr:rowOff>
                  </to>
                </anchor>
              </controlPr>
            </control>
          </mc:Choice>
        </mc:AlternateContent>
        <mc:AlternateContent xmlns:mc="http://schemas.openxmlformats.org/markup-compatibility/2006">
          <mc:Choice Requires="x14">
            <control shapeId="281974" r:id="rId131" name="bpmDropDownFLU1197">
              <controlPr defaultSize="0" autoFill="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81976" r:id="rId132" name="bpmDropDownFLU1199">
              <controlPr defaultSize="0" autoFill="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81977" r:id="rId133" name="bpmDropDownFLU1200">
              <controlPr defaultSize="0" autoFill="0" autoPict="0">
                <anchor moveWithCells="1">
                  <from>
                    <xdr:col>8</xdr:col>
                    <xdr:colOff>0</xdr:colOff>
                    <xdr:row>103</xdr:row>
                    <xdr:rowOff>0</xdr:rowOff>
                  </from>
                  <to>
                    <xdr:col>9</xdr:col>
                    <xdr:colOff>0</xdr:colOff>
                    <xdr:row>104</xdr:row>
                    <xdr:rowOff>0</xdr:rowOff>
                  </to>
                </anchor>
              </controlPr>
            </control>
          </mc:Choice>
        </mc:AlternateContent>
        <mc:AlternateContent xmlns:mc="http://schemas.openxmlformats.org/markup-compatibility/2006">
          <mc:Choice Requires="x14">
            <control shapeId="281978" r:id="rId134" name="bpmDropDownFLU1201">
              <controlPr defaultSize="0" autoFill="0" autoPict="0">
                <anchor moveWithCells="1">
                  <from>
                    <xdr:col>8</xdr:col>
                    <xdr:colOff>0</xdr:colOff>
                    <xdr:row>104</xdr:row>
                    <xdr:rowOff>0</xdr:rowOff>
                  </from>
                  <to>
                    <xdr:col>9</xdr:col>
                    <xdr:colOff>0</xdr:colOff>
                    <xdr:row>105</xdr:row>
                    <xdr:rowOff>0</xdr:rowOff>
                  </to>
                </anchor>
              </controlPr>
            </control>
          </mc:Choice>
        </mc:AlternateContent>
        <mc:AlternateContent xmlns:mc="http://schemas.openxmlformats.org/markup-compatibility/2006">
          <mc:Choice Requires="x14">
            <control shapeId="281979" r:id="rId135" name="bpmDropDownFLU1202">
              <controlPr defaultSize="0" autoFill="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281980" r:id="rId136" name="bpmDropDownFLU1203">
              <controlPr defaultSize="0" autoFill="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281981" r:id="rId137" name="bpmDropDownFLU1204">
              <controlPr defaultSize="0" autoFill="0" autoPict="0">
                <anchor moveWithCells="1">
                  <from>
                    <xdr:col>8</xdr:col>
                    <xdr:colOff>0</xdr:colOff>
                    <xdr:row>107</xdr:row>
                    <xdr:rowOff>0</xdr:rowOff>
                  </from>
                  <to>
                    <xdr:col>9</xdr:col>
                    <xdr:colOff>0</xdr:colOff>
                    <xdr:row>108</xdr:row>
                    <xdr:rowOff>0</xdr:rowOff>
                  </to>
                </anchor>
              </controlPr>
            </control>
          </mc:Choice>
        </mc:AlternateContent>
        <mc:AlternateContent xmlns:mc="http://schemas.openxmlformats.org/markup-compatibility/2006">
          <mc:Choice Requires="x14">
            <control shapeId="281982" r:id="rId138" name="bpmDropDownFLU1205">
              <controlPr defaultSize="0" autoFill="0" autoPict="0">
                <anchor moveWithCells="1">
                  <from>
                    <xdr:col>8</xdr:col>
                    <xdr:colOff>0</xdr:colOff>
                    <xdr:row>108</xdr:row>
                    <xdr:rowOff>0</xdr:rowOff>
                  </from>
                  <to>
                    <xdr:col>9</xdr:col>
                    <xdr:colOff>0</xdr:colOff>
                    <xdr:row>109</xdr:row>
                    <xdr:rowOff>0</xdr:rowOff>
                  </to>
                </anchor>
              </controlPr>
            </control>
          </mc:Choice>
        </mc:AlternateContent>
        <mc:AlternateContent xmlns:mc="http://schemas.openxmlformats.org/markup-compatibility/2006">
          <mc:Choice Requires="x14">
            <control shapeId="281983" r:id="rId139" name="bpmDropDownFLU1206">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281984" r:id="rId140" name="bpmDropDownFLU1207">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281985" r:id="rId141" name="bpmDropDownFLU1208">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281986" r:id="rId142" name="bpmDropDownFLU1209">
              <controlPr defaultSize="0" autoFill="0" autoPict="0">
                <anchor moveWithCells="1">
                  <from>
                    <xdr:col>3</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281987" r:id="rId143" name="bpmDropDownFLU1210">
              <controlPr defaultSize="0" autoFill="0" autoPict="0">
                <anchor moveWithCells="1">
                  <from>
                    <xdr:col>3</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281988" r:id="rId144" name="bpmDropDownFLU1211">
              <controlPr defaultSize="0" autoFill="0" autoPict="0">
                <anchor moveWithCells="1">
                  <from>
                    <xdr:col>3</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281989" r:id="rId145" name="bpmDropDownFLU1212">
              <controlPr defaultSize="0" autoFill="0" autoPict="0">
                <anchor moveWithCells="1">
                  <from>
                    <xdr:col>3</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281990" r:id="rId146" name="bpmDropDownFLU1218">
              <controlPr defaultSize="0" autoFill="0" autoPict="0">
                <anchor moveWithCells="1">
                  <from>
                    <xdr:col>3</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281992" r:id="rId147" name="bpmDropDownFLU1220">
              <controlPr defaultSize="0" autoFill="0" autoPict="0">
                <anchor moveWithCells="1">
                  <from>
                    <xdr:col>3</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281993" r:id="rId148" name="bpmDropDownFLU1221">
              <controlPr defaultSize="0" autoFill="0" autoPict="0">
                <anchor moveWithCells="1">
                  <from>
                    <xdr:col>3</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281994" r:id="rId149" name="bpmDropDownFLU1222">
              <controlPr defaultSize="0" autoFill="0" autoPict="0">
                <anchor moveWithCells="1">
                  <from>
                    <xdr:col>3</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281995" r:id="rId150" name="bpmDropDownFLU1233">
              <controlPr defaultSize="0" autoFill="0" autoPict="0">
                <anchor moveWithCells="1">
                  <from>
                    <xdr:col>3</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281996" r:id="rId151" name="bpmDropDownFLU1234">
              <controlPr defaultSize="0" autoFill="0" autoPict="0">
                <anchor moveWithCells="1">
                  <from>
                    <xdr:col>3</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281997" r:id="rId152" name="bpmDropDownFLU1235">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281998" r:id="rId153" name="bpmDropDownFLU1236">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281999" r:id="rId154" name="bpmDropDownFLU1237">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282000" r:id="rId155" name="bpmDropDownFLU1238">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282001" r:id="rId156" name="bpmDropDownFLU1239">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282002" r:id="rId157" name="bpmDropDownFLU1240">
              <controlPr defaultSize="0" autoFill="0" autoPict="0">
                <anchor moveWithCells="1">
                  <from>
                    <xdr:col>3</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282003" r:id="rId158" name="bpmDropDownFLU1241">
              <controlPr defaultSize="0" autoFill="0" autoPict="0">
                <anchor moveWithCells="1">
                  <from>
                    <xdr:col>3</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282004" r:id="rId159" name="bpmDropDownFLU1242">
              <controlPr defaultSize="0" autoFill="0" autoPict="0">
                <anchor moveWithCells="1">
                  <from>
                    <xdr:col>3</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282005" r:id="rId160" name="bpmDropDownFLU1243">
              <controlPr defaultSize="0" autoFill="0" autoPict="0">
                <anchor moveWithCells="1">
                  <from>
                    <xdr:col>3</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282006" r:id="rId161" name="bpmDropDownFLU1244">
              <controlPr defaultSize="0" autoFill="0" autoPict="0">
                <anchor moveWithCells="1">
                  <from>
                    <xdr:col>3</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282008" r:id="rId162" name="bpmDropDownFLU1246">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282009" r:id="rId163" name="bpmDropDownFLU1247">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282010" r:id="rId164" name="bpmDropDownFLU1248">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282011" r:id="rId165" name="bpmDropDownFLU1249">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282012" r:id="rId166" name="bpmDropDownFLU1250">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282013" r:id="rId167" name="bpmDropDownFLU1251">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282014" r:id="rId168" name="bpmDropDownFLU1252">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282015" r:id="rId169" name="bpmDropDownFLU1253">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282016" r:id="rId170" name="bpmDropDownFLU1254">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282017" r:id="rId171" name="bpmDropDownFLU1255">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282018" r:id="rId172" name="bpmDropDownFLU1256">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282019" r:id="rId173" name="bpmDropDownFLU1257">
              <controlPr defaultSize="0" autoFill="0" autoPict="0">
                <anchor moveWithCells="1">
                  <from>
                    <xdr:col>3</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282020" r:id="rId174" name="bpmDropDownFLU1258">
              <controlPr defaultSize="0" autoFill="0" autoPict="0">
                <anchor moveWithCells="1">
                  <from>
                    <xdr:col>3</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282021" r:id="rId175" name="bpmDropDownFLU1259">
              <controlPr defaultSize="0" autoFill="0" autoPict="0">
                <anchor moveWithCells="1">
                  <from>
                    <xdr:col>3</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282022" r:id="rId176" name="bpmDropDownFLU1260">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282024" r:id="rId177" name="bpmDropDownFLU1262">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282025" r:id="rId178" name="bpmDropDownFLU1263">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282026" r:id="rId179" name="bpmDropDownFLU1264">
              <controlPr defaultSize="0" autoFill="0" autoPict="0">
                <anchor moveWithCells="1">
                  <from>
                    <xdr:col>3</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282027" r:id="rId180" name="bpmDropDownFLU1265">
              <controlPr defaultSize="0" autoFill="0" autoPict="0">
                <anchor moveWithCells="1">
                  <from>
                    <xdr:col>3</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282028" r:id="rId181" name="bpmDropDownFLU1266">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282029" r:id="rId182" name="bpmDropDownFLU1267">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282030" r:id="rId183" name="bpmDropDownFLU1268">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282031" r:id="rId184" name="bpmDropDownFLU1269">
              <controlPr defaultSize="0" autoFill="0" autoPict="0">
                <anchor moveWithCells="1">
                  <from>
                    <xdr:col>3</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282032" r:id="rId185" name="bpmDropDownFLU1270">
              <controlPr defaultSize="0" autoFill="0" autoPict="0">
                <anchor moveWithCells="1">
                  <from>
                    <xdr:col>3</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282033" r:id="rId186" name="bpmDropDownFLU1271">
              <controlPr defaultSize="0" autoFill="0" autoPict="0">
                <anchor moveWithCells="1">
                  <from>
                    <xdr:col>3</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282034" r:id="rId187" name="bpmDropDownFLU1272">
              <controlPr defaultSize="0" autoFill="0" autoPict="0">
                <anchor moveWithCells="1">
                  <from>
                    <xdr:col>3</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282035" r:id="rId188" name="bpmDropDownFLU1273">
              <controlPr defaultSize="0" autoFill="0" autoPict="0">
                <anchor moveWithCells="1">
                  <from>
                    <xdr:col>3</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282036" r:id="rId189" name="bpmDropDownFLU1274">
              <controlPr defaultSize="0" autoFill="0" autoPict="0">
                <anchor moveWithCells="1">
                  <from>
                    <xdr:col>3</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282037" r:id="rId190" name="bpmDropDownFLU1275">
              <controlPr defaultSize="0" autoFill="0" autoPict="0">
                <anchor moveWithCells="1">
                  <from>
                    <xdr:col>3</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282038" r:id="rId191" name="bpmDropDownFLU1276">
              <controlPr defaultSize="0" autoFill="0" autoPict="0">
                <anchor moveWithCells="1">
                  <from>
                    <xdr:col>3</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282040" r:id="rId192" name="bpmDropDownFLU1278">
              <controlPr defaultSize="0" autoFill="0" autoPict="0">
                <anchor moveWithCells="1">
                  <from>
                    <xdr:col>3</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282041" r:id="rId193" name="bpmDropDownFLU1279">
              <controlPr defaultSize="0" autoFill="0" autoPict="0">
                <anchor moveWithCells="1">
                  <from>
                    <xdr:col>3</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282042" r:id="rId194" name="bpmDropDownFLU1280">
              <controlPr defaultSize="0" autoFill="0" autoPict="0">
                <anchor moveWithCells="1">
                  <from>
                    <xdr:col>3</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282043" r:id="rId195" name="bpmDropDownFLU1281">
              <controlPr defaultSize="0" autoFill="0" autoPict="0">
                <anchor moveWithCells="1">
                  <from>
                    <xdr:col>3</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282044" r:id="rId196" name="bpmDropDownFLU1282">
              <controlPr defaultSize="0" autoFill="0" autoPict="0">
                <anchor moveWithCells="1">
                  <from>
                    <xdr:col>3</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282045" r:id="rId197" name="bpmDropDownFLU1283">
              <controlPr defaultSize="0" autoFill="0" autoPict="0">
                <anchor moveWithCells="1">
                  <from>
                    <xdr:col>3</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282046" r:id="rId198" name="bpmDropDownFLU1284">
              <controlPr defaultSize="0" autoFill="0" autoPict="0">
                <anchor moveWithCells="1">
                  <from>
                    <xdr:col>3</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282047" r:id="rId199" name="bpmDropDownFLU1285">
              <controlPr defaultSize="0" autoFill="0" autoPict="0">
                <anchor moveWithCells="1">
                  <from>
                    <xdr:col>3</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282048" r:id="rId200" name="bpmDropDownFLU1286">
              <controlPr defaultSize="0" autoFill="0" autoPict="0">
                <anchor moveWithCells="1">
                  <from>
                    <xdr:col>3</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282049" r:id="rId201" name="bpmDropDownFLU1287">
              <controlPr defaultSize="0" autoFill="0" autoPict="0">
                <anchor moveWithCells="1">
                  <from>
                    <xdr:col>3</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282050" r:id="rId202" name="bpmDropDownFLU1288">
              <controlPr defaultSize="0" autoFill="0" autoPict="0">
                <anchor moveWithCells="1">
                  <from>
                    <xdr:col>3</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282051" r:id="rId203" name="bpmDropDownFLU1289">
              <controlPr defaultSize="0" autoFill="0" autoPict="0">
                <anchor moveWithCells="1">
                  <from>
                    <xdr:col>3</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282052" r:id="rId204" name="bpmDropDownFLU1290">
              <controlPr defaultSize="0" autoFill="0" autoPict="0">
                <anchor moveWithCells="1">
                  <from>
                    <xdr:col>3</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282053" r:id="rId205" name="bpmDropDownFLU1291">
              <controlPr defaultSize="0" autoFill="0" autoPict="0">
                <anchor moveWithCells="1">
                  <from>
                    <xdr:col>3</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282054" r:id="rId206" name="bpmDropDownFLU1292">
              <controlPr defaultSize="0" autoFill="0" autoPict="0">
                <anchor moveWithCells="1">
                  <from>
                    <xdr:col>3</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282056" r:id="rId207" name="bpmDropDownFLU1294">
              <controlPr defaultSize="0" autoFill="0" autoPict="0">
                <anchor moveWithCells="1">
                  <from>
                    <xdr:col>3</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282057" r:id="rId208" name="bpmDropDownFLU1295">
              <controlPr defaultSize="0" autoFill="0" autoPict="0">
                <anchor moveWithCells="1">
                  <from>
                    <xdr:col>3</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282058" r:id="rId209" name="bpmDropDownFLU1296">
              <controlPr defaultSize="0" autoFill="0" autoPict="0">
                <anchor moveWithCells="1">
                  <from>
                    <xdr:col>3</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282059" r:id="rId210" name="bpmDropDownFLU1297">
              <controlPr defaultSize="0" autoFill="0" autoPict="0">
                <anchor moveWithCells="1">
                  <from>
                    <xdr:col>3</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282060" r:id="rId211" name="bpmDropDownFLU1298">
              <controlPr defaultSize="0" autoFill="0" autoPict="0">
                <anchor moveWithCells="1">
                  <from>
                    <xdr:col>3</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282061" r:id="rId212" name="bpmDropDownFLU1299">
              <controlPr defaultSize="0" autoFill="0" autoPict="0">
                <anchor moveWithCells="1">
                  <from>
                    <xdr:col>3</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282062" r:id="rId213" name="bpmDropDownFLU1300">
              <controlPr defaultSize="0" autoFill="0" autoPict="0">
                <anchor moveWithCells="1">
                  <from>
                    <xdr:col>3</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282063" r:id="rId214" name="bpmDropDownFLU1301">
              <controlPr defaultSize="0" autoFill="0" autoPict="0">
                <anchor moveWithCells="1">
                  <from>
                    <xdr:col>3</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282064" r:id="rId215" name="bpmDropDownFLU1302">
              <controlPr defaultSize="0" autoFill="0" autoPict="0">
                <anchor moveWithCells="1">
                  <from>
                    <xdr:col>3</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282065" r:id="rId216" name="bpmDropDownFLU1303">
              <controlPr defaultSize="0" autoFill="0" autoPict="0">
                <anchor moveWithCells="1">
                  <from>
                    <xdr:col>3</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282066" r:id="rId217" name="bpmDropDownFLU1304">
              <controlPr defaultSize="0" autoFill="0" autoPict="0">
                <anchor moveWithCells="1">
                  <from>
                    <xdr:col>3</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282067" r:id="rId218" name="bpmDropDownFLU1305">
              <controlPr defaultSize="0" autoFill="0" autoPict="0">
                <anchor moveWithCells="1">
                  <from>
                    <xdr:col>3</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282068" r:id="rId219" name="bpmDropDownFLU1306">
              <controlPr defaultSize="0" autoFill="0" autoPict="0">
                <anchor moveWithCells="1">
                  <from>
                    <xdr:col>3</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282069" r:id="rId220" name="bpmDropDownFLU1307">
              <controlPr defaultSize="0" autoFill="0" autoPict="0">
                <anchor moveWithCells="1">
                  <from>
                    <xdr:col>3</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282070" r:id="rId221" name="bpmDropDownFLU1308">
              <controlPr defaultSize="0" autoFill="0" autoPict="0">
                <anchor moveWithCells="1">
                  <from>
                    <xdr:col>3</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282072" r:id="rId222" name="bpmDropDownFLU1310">
              <controlPr defaultSize="0" autoFill="0" autoPict="0">
                <anchor moveWithCells="1">
                  <from>
                    <xdr:col>3</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282073" r:id="rId223" name="bpmDropDownFLU1311">
              <controlPr defaultSize="0" autoFill="0" autoPict="0">
                <anchor moveWithCells="1">
                  <from>
                    <xdr:col>3</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282074" r:id="rId224" name="bpmDropDownFLU1312">
              <controlPr defaultSize="0" autoFill="0" autoPict="0">
                <anchor moveWithCells="1">
                  <from>
                    <xdr:col>3</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282075" r:id="rId225" name="bpmDropDownFLU1313">
              <controlPr defaultSize="0" autoFill="0" autoPict="0">
                <anchor moveWithCells="1">
                  <from>
                    <xdr:col>3</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282076" r:id="rId226" name="bpmDropDownFLU1314">
              <controlPr defaultSize="0" autoFill="0" autoPict="0">
                <anchor moveWithCells="1">
                  <from>
                    <xdr:col>3</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282077" r:id="rId227" name="bpmDropDownFLU1315">
              <controlPr defaultSize="0" autoFill="0" autoPict="0">
                <anchor moveWithCells="1">
                  <from>
                    <xdr:col>3</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282078" r:id="rId228" name="bpmDropDownFLU1316">
              <controlPr defaultSize="0" autoFill="0" autoPict="0">
                <anchor moveWithCells="1">
                  <from>
                    <xdr:col>3</xdr:col>
                    <xdr:colOff>0</xdr:colOff>
                    <xdr:row>248</xdr:row>
                    <xdr:rowOff>0</xdr:rowOff>
                  </from>
                  <to>
                    <xdr:col>7</xdr:col>
                    <xdr:colOff>0</xdr:colOff>
                    <xdr:row>249</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5">
    <tabColor indexed="62"/>
    <pageSetUpPr autoPageBreaks="0"/>
  </sheetPr>
  <dimension ref="A1:NN257"/>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outlineLevelRow="1"/>
  <cols>
    <col min="1" max="6" width="3.6640625" style="134" customWidth="1"/>
    <col min="7" max="7" width="20.6640625" style="134" customWidth="1"/>
    <col min="8" max="8" width="30.6640625" style="134" customWidth="1"/>
    <col min="9" max="10" width="20.6640625" style="134" customWidth="1"/>
    <col min="11" max="11" width="11.77734375" style="134" customWidth="1"/>
    <col min="12" max="15" width="11.6640625" style="134" customWidth="1"/>
    <col min="16" max="16" width="30.6640625" style="134" customWidth="1"/>
    <col min="17" max="18" width="11.6640625" style="134" customWidth="1"/>
    <col min="19" max="378" width="0" style="134" hidden="1" customWidth="1"/>
    <col min="379" max="16384" width="11.6640625" style="134" hidden="1"/>
  </cols>
  <sheetData>
    <row r="1" spans="1:16" ht="21">
      <c r="B1" s="46" t="s">
        <v>533</v>
      </c>
    </row>
    <row r="2" spans="1:16" ht="18">
      <c r="B2" s="47" t="str">
        <f>Model_Name</f>
        <v>Seasonal Influenza Immunization Costing Tool (SIICT)  - Test Country</v>
      </c>
    </row>
    <row r="3" spans="1:16">
      <c r="B3" s="716" t="s">
        <v>1</v>
      </c>
      <c r="C3" s="716"/>
      <c r="D3" s="716"/>
      <c r="E3" s="716"/>
      <c r="F3" s="716"/>
      <c r="G3" s="716"/>
    </row>
    <row r="4" spans="1:16">
      <c r="A4" s="48" t="s">
        <v>3</v>
      </c>
      <c r="B4" s="49" t="s">
        <v>4</v>
      </c>
      <c r="C4" s="50" t="s">
        <v>5</v>
      </c>
      <c r="D4" s="51" t="s">
        <v>25</v>
      </c>
      <c r="E4" s="79" t="s">
        <v>26</v>
      </c>
      <c r="F4" s="52" t="s">
        <v>27</v>
      </c>
    </row>
    <row r="5" spans="1:16">
      <c r="K5" s="23"/>
    </row>
    <row r="6" spans="1:16">
      <c r="K6" s="23"/>
    </row>
    <row r="7" spans="1:16" ht="17.399999999999999">
      <c r="B7" s="15" t="s">
        <v>500</v>
      </c>
      <c r="K7" s="23"/>
    </row>
    <row r="8" spans="1:16" s="23" customFormat="1"/>
    <row r="9" spans="1:16" s="23" customFormat="1" ht="15.6">
      <c r="C9" s="171" t="str">
        <f>"Detailed Cost Estimate: "&amp;FLU_LU!$D$355</f>
        <v>Detailed Cost Estimate: SIA - Team of 2 Nurses - Full Working Day</v>
      </c>
    </row>
    <row r="10" spans="1:16" s="61" customFormat="1"/>
    <row r="11" spans="1:16">
      <c r="F11" s="152" t="s">
        <v>597</v>
      </c>
      <c r="H11" s="758">
        <f>SD_IMM!G24:I24</f>
        <v>0</v>
      </c>
      <c r="I11" s="775"/>
      <c r="J11" s="775"/>
      <c r="K11" s="775"/>
      <c r="L11" s="775"/>
      <c r="M11" s="775"/>
      <c r="N11" s="775"/>
      <c r="O11" s="775"/>
      <c r="P11" s="775"/>
    </row>
    <row r="12" spans="1:16" s="61" customFormat="1" ht="15.6">
      <c r="C12" s="111" t="s">
        <v>682</v>
      </c>
    </row>
    <row r="13" spans="1:16" s="61" customFormat="1"/>
    <row r="14" spans="1:16" s="23" customFormat="1">
      <c r="C14" s="153" t="str">
        <f>FLU_LU!$D$278</f>
        <v xml:space="preserve">Personnel </v>
      </c>
    </row>
    <row r="15" spans="1:16" s="23" customFormat="1" ht="43.2" outlineLevel="1">
      <c r="D15" s="733" t="s">
        <v>100</v>
      </c>
      <c r="E15" s="733"/>
      <c r="F15" s="733"/>
      <c r="G15" s="733"/>
      <c r="H15" s="142" t="s">
        <v>274</v>
      </c>
      <c r="I15" s="72" t="s">
        <v>474</v>
      </c>
      <c r="J15" s="152" t="s">
        <v>67</v>
      </c>
      <c r="K15" s="72" t="s">
        <v>475</v>
      </c>
      <c r="L15" s="28" t="str">
        <f>"Financial Price ("&amp;FLU_LU!$D$79&amp;")"</f>
        <v>Financial Price (GOZ)</v>
      </c>
      <c r="M15" s="28" t="str">
        <f>"Economic Price ("&amp;FLU_LU!$D$79&amp;")"</f>
        <v>Economic Price (GOZ)</v>
      </c>
      <c r="N15" s="28" t="str">
        <f>"Financial Price ("&amp;FLU_LU!$D$78&amp;")"</f>
        <v>Financial Price (USD)</v>
      </c>
      <c r="O15" s="28" t="str">
        <f>"Economic Price ("&amp;FLU_LU!$D$78&amp;")"</f>
        <v>Economic Price (USD)</v>
      </c>
      <c r="P15" s="152" t="s">
        <v>68</v>
      </c>
    </row>
    <row r="16" spans="1:16" s="23" customFormat="1" outlineLevel="1">
      <c r="D16" s="746">
        <v>20</v>
      </c>
      <c r="E16" s="746"/>
      <c r="F16" s="746"/>
      <c r="G16" s="749"/>
      <c r="H16" s="151" t="s">
        <v>679</v>
      </c>
      <c r="I16" s="31">
        <v>1</v>
      </c>
      <c r="J16" s="64">
        <v>1</v>
      </c>
      <c r="K16" s="135">
        <f t="shared" ref="K16:K30" si="0">IF(I16=1,J16/FLU_DAYS_PER_MONTH,IF(I16=2,J16/FLU_HOURS_PER_MONTH,J16/FLU_MINUTES_PER_MONTH))</f>
        <v>4.5454545454545456E-2</v>
      </c>
      <c r="L16" s="162">
        <f ca="1">OFFSET(Cost_Ingredients!$N$73,D16,0)*K16</f>
        <v>0</v>
      </c>
      <c r="M16" s="162">
        <f ca="1">OFFSET(Cost_Ingredients!$O$73,D16,0)*K16</f>
        <v>2710.6227272727274</v>
      </c>
      <c r="N16" s="179">
        <f ca="1">L16/Cost_Ingredients!$J$21</f>
        <v>0</v>
      </c>
      <c r="O16" s="179">
        <f ca="1">M16/Cost_Ingredients!$J$21</f>
        <v>18.070818181818183</v>
      </c>
      <c r="P16" s="151"/>
    </row>
    <row r="17" spans="4:16" s="23" customFormat="1" outlineLevel="1">
      <c r="D17" s="746">
        <v>20</v>
      </c>
      <c r="E17" s="746"/>
      <c r="F17" s="746"/>
      <c r="G17" s="749"/>
      <c r="H17" s="151" t="s">
        <v>684</v>
      </c>
      <c r="I17" s="31">
        <v>1</v>
      </c>
      <c r="J17" s="64">
        <v>1</v>
      </c>
      <c r="K17" s="135">
        <f t="shared" si="0"/>
        <v>4.5454545454545456E-2</v>
      </c>
      <c r="L17" s="162">
        <f ca="1">OFFSET(Cost_Ingredients!$N$73,D17,0)*K17</f>
        <v>0</v>
      </c>
      <c r="M17" s="162">
        <f ca="1">OFFSET(Cost_Ingredients!$O$73,D17,0)*K17</f>
        <v>2710.6227272727274</v>
      </c>
      <c r="N17" s="179">
        <f ca="1">L17/Cost_Ingredients!$J$21</f>
        <v>0</v>
      </c>
      <c r="O17" s="179">
        <f ca="1">M17/Cost_Ingredients!$J$21</f>
        <v>18.070818181818183</v>
      </c>
      <c r="P17" s="151"/>
    </row>
    <row r="18" spans="4:16" s="23" customFormat="1" outlineLevel="1">
      <c r="D18" s="746">
        <v>1</v>
      </c>
      <c r="E18" s="746"/>
      <c r="F18" s="746"/>
      <c r="G18" s="749"/>
      <c r="H18" s="151"/>
      <c r="I18" s="31">
        <v>1</v>
      </c>
      <c r="J18" s="64"/>
      <c r="K18" s="135">
        <f t="shared" si="0"/>
        <v>0</v>
      </c>
      <c r="L18" s="162">
        <f ca="1">OFFSET(Cost_Ingredients!$N$73,D18,0)*K18</f>
        <v>0</v>
      </c>
      <c r="M18" s="162">
        <f ca="1">OFFSET(Cost_Ingredients!$O$73,D18,0)*K18</f>
        <v>0</v>
      </c>
      <c r="N18" s="179">
        <f ca="1">L18/Cost_Ingredients!$J$21</f>
        <v>0</v>
      </c>
      <c r="O18" s="179">
        <f ca="1">M18/Cost_Ingredients!$J$21</f>
        <v>0</v>
      </c>
      <c r="P18" s="151"/>
    </row>
    <row r="19" spans="4:16" s="23" customFormat="1" outlineLevel="1">
      <c r="D19" s="746">
        <v>1</v>
      </c>
      <c r="E19" s="746"/>
      <c r="F19" s="746"/>
      <c r="G19" s="749"/>
      <c r="H19" s="151"/>
      <c r="I19" s="31">
        <v>1</v>
      </c>
      <c r="J19" s="64"/>
      <c r="K19" s="135">
        <f t="shared" si="0"/>
        <v>0</v>
      </c>
      <c r="L19" s="162">
        <f ca="1">OFFSET(Cost_Ingredients!$N$73,D19,0)*K19</f>
        <v>0</v>
      </c>
      <c r="M19" s="162">
        <f ca="1">OFFSET(Cost_Ingredients!$O$73,D19,0)*K19</f>
        <v>0</v>
      </c>
      <c r="N19" s="179">
        <f ca="1">L19/Cost_Ingredients!$J$21</f>
        <v>0</v>
      </c>
      <c r="O19" s="179">
        <f ca="1">M19/Cost_Ingredients!$J$21</f>
        <v>0</v>
      </c>
      <c r="P19" s="151"/>
    </row>
    <row r="20" spans="4:16" s="23" customFormat="1" outlineLevel="1">
      <c r="D20" s="746">
        <v>1</v>
      </c>
      <c r="E20" s="746"/>
      <c r="F20" s="746"/>
      <c r="G20" s="749"/>
      <c r="H20" s="151"/>
      <c r="I20" s="31">
        <v>1</v>
      </c>
      <c r="J20" s="64"/>
      <c r="K20" s="135">
        <f t="shared" si="0"/>
        <v>0</v>
      </c>
      <c r="L20" s="162">
        <f ca="1">OFFSET(Cost_Ingredients!$N$73,D20,0)*K20</f>
        <v>0</v>
      </c>
      <c r="M20" s="162">
        <f ca="1">OFFSET(Cost_Ingredients!$O$73,D20,0)*K20</f>
        <v>0</v>
      </c>
      <c r="N20" s="179">
        <f ca="1">L20/Cost_Ingredients!$J$21</f>
        <v>0</v>
      </c>
      <c r="O20" s="179">
        <f ca="1">M20/Cost_Ingredients!$J$21</f>
        <v>0</v>
      </c>
      <c r="P20" s="151"/>
    </row>
    <row r="21" spans="4:16" s="23" customFormat="1" outlineLevel="1">
      <c r="D21" s="746">
        <v>1</v>
      </c>
      <c r="E21" s="746"/>
      <c r="F21" s="746"/>
      <c r="G21" s="749"/>
      <c r="H21" s="151"/>
      <c r="I21" s="31">
        <v>1</v>
      </c>
      <c r="J21" s="64"/>
      <c r="K21" s="135">
        <f t="shared" si="0"/>
        <v>0</v>
      </c>
      <c r="L21" s="162">
        <f ca="1">OFFSET(Cost_Ingredients!$N$73,D21,0)*K21</f>
        <v>0</v>
      </c>
      <c r="M21" s="162">
        <f ca="1">OFFSET(Cost_Ingredients!$O$73,D21,0)*K21</f>
        <v>0</v>
      </c>
      <c r="N21" s="179">
        <f ca="1">L21/Cost_Ingredients!$J$21</f>
        <v>0</v>
      </c>
      <c r="O21" s="179">
        <f ca="1">M21/Cost_Ingredients!$J$21</f>
        <v>0</v>
      </c>
      <c r="P21" s="151"/>
    </row>
    <row r="22" spans="4:16" s="23" customFormat="1" outlineLevel="1">
      <c r="D22" s="746">
        <v>1</v>
      </c>
      <c r="E22" s="746"/>
      <c r="F22" s="746"/>
      <c r="G22" s="749"/>
      <c r="H22" s="151"/>
      <c r="I22" s="31">
        <v>1</v>
      </c>
      <c r="J22" s="64"/>
      <c r="K22" s="135">
        <f t="shared" si="0"/>
        <v>0</v>
      </c>
      <c r="L22" s="162">
        <f ca="1">OFFSET(Cost_Ingredients!$N$73,D22,0)*K22</f>
        <v>0</v>
      </c>
      <c r="M22" s="162">
        <f ca="1">OFFSET(Cost_Ingredients!$O$73,D22,0)*K22</f>
        <v>0</v>
      </c>
      <c r="N22" s="179">
        <f ca="1">L22/Cost_Ingredients!$J$21</f>
        <v>0</v>
      </c>
      <c r="O22" s="179">
        <f ca="1">M22/Cost_Ingredients!$J$21</f>
        <v>0</v>
      </c>
      <c r="P22" s="151"/>
    </row>
    <row r="23" spans="4:16" s="23" customFormat="1" outlineLevel="1">
      <c r="D23" s="746">
        <v>1</v>
      </c>
      <c r="E23" s="746"/>
      <c r="F23" s="746"/>
      <c r="G23" s="749"/>
      <c r="H23" s="151"/>
      <c r="I23" s="31">
        <v>1</v>
      </c>
      <c r="J23" s="64">
        <v>0</v>
      </c>
      <c r="K23" s="135">
        <f t="shared" si="0"/>
        <v>0</v>
      </c>
      <c r="L23" s="162">
        <f ca="1">OFFSET(Cost_Ingredients!$N$73,D23,0)*K23</f>
        <v>0</v>
      </c>
      <c r="M23" s="162">
        <f ca="1">OFFSET(Cost_Ingredients!$O$73,D23,0)*K23</f>
        <v>0</v>
      </c>
      <c r="N23" s="179">
        <f ca="1">L23/Cost_Ingredients!$J$21</f>
        <v>0</v>
      </c>
      <c r="O23" s="179">
        <f ca="1">M23/Cost_Ingredients!$J$21</f>
        <v>0</v>
      </c>
      <c r="P23" s="151"/>
    </row>
    <row r="24" spans="4:16" s="23" customFormat="1" outlineLevel="1">
      <c r="D24" s="746">
        <v>1</v>
      </c>
      <c r="E24" s="746"/>
      <c r="F24" s="746"/>
      <c r="G24" s="749"/>
      <c r="H24" s="151"/>
      <c r="I24" s="31">
        <v>1</v>
      </c>
      <c r="J24" s="64">
        <v>0</v>
      </c>
      <c r="K24" s="135">
        <f t="shared" si="0"/>
        <v>0</v>
      </c>
      <c r="L24" s="162">
        <f ca="1">OFFSET(Cost_Ingredients!$N$73,D24,0)*K24</f>
        <v>0</v>
      </c>
      <c r="M24" s="162">
        <f ca="1">OFFSET(Cost_Ingredients!$O$73,D24,0)*K24</f>
        <v>0</v>
      </c>
      <c r="N24" s="179">
        <f ca="1">L24/Cost_Ingredients!$J$21</f>
        <v>0</v>
      </c>
      <c r="O24" s="179">
        <f ca="1">M24/Cost_Ingredients!$J$21</f>
        <v>0</v>
      </c>
      <c r="P24" s="151"/>
    </row>
    <row r="25" spans="4:16" s="23" customFormat="1" outlineLevel="1">
      <c r="D25" s="746">
        <v>1</v>
      </c>
      <c r="E25" s="746"/>
      <c r="F25" s="746"/>
      <c r="G25" s="749"/>
      <c r="H25" s="151"/>
      <c r="I25" s="31">
        <v>1</v>
      </c>
      <c r="J25" s="64">
        <v>0</v>
      </c>
      <c r="K25" s="135">
        <f t="shared" si="0"/>
        <v>0</v>
      </c>
      <c r="L25" s="162">
        <f ca="1">OFFSET(Cost_Ingredients!$N$73,D25,0)*K25</f>
        <v>0</v>
      </c>
      <c r="M25" s="162">
        <f ca="1">OFFSET(Cost_Ingredients!$O$73,D25,0)*K25</f>
        <v>0</v>
      </c>
      <c r="N25" s="179">
        <f ca="1">L25/Cost_Ingredients!$J$21</f>
        <v>0</v>
      </c>
      <c r="O25" s="179">
        <f ca="1">M25/Cost_Ingredients!$J$21</f>
        <v>0</v>
      </c>
      <c r="P25" s="151"/>
    </row>
    <row r="26" spans="4:16" s="23" customFormat="1" outlineLevel="1">
      <c r="D26" s="746">
        <v>1</v>
      </c>
      <c r="E26" s="746"/>
      <c r="F26" s="746"/>
      <c r="G26" s="749"/>
      <c r="H26" s="151"/>
      <c r="I26" s="31">
        <v>1</v>
      </c>
      <c r="J26" s="64">
        <v>0</v>
      </c>
      <c r="K26" s="135">
        <f t="shared" si="0"/>
        <v>0</v>
      </c>
      <c r="L26" s="162">
        <f ca="1">OFFSET(Cost_Ingredients!$N$73,D26,0)*K26</f>
        <v>0</v>
      </c>
      <c r="M26" s="162">
        <f ca="1">OFFSET(Cost_Ingredients!$O$73,D26,0)*K26</f>
        <v>0</v>
      </c>
      <c r="N26" s="179">
        <f ca="1">L26/Cost_Ingredients!$J$21</f>
        <v>0</v>
      </c>
      <c r="O26" s="179">
        <f ca="1">M26/Cost_Ingredients!$J$21</f>
        <v>0</v>
      </c>
      <c r="P26" s="151"/>
    </row>
    <row r="27" spans="4:16" s="23" customFormat="1" outlineLevel="1">
      <c r="D27" s="746">
        <v>1</v>
      </c>
      <c r="E27" s="746"/>
      <c r="F27" s="746"/>
      <c r="G27" s="749"/>
      <c r="H27" s="151"/>
      <c r="I27" s="31">
        <v>1</v>
      </c>
      <c r="J27" s="64">
        <v>0</v>
      </c>
      <c r="K27" s="135">
        <f t="shared" si="0"/>
        <v>0</v>
      </c>
      <c r="L27" s="162">
        <f ca="1">OFFSET(Cost_Ingredients!$N$73,D27,0)*K27</f>
        <v>0</v>
      </c>
      <c r="M27" s="162">
        <f ca="1">OFFSET(Cost_Ingredients!$O$73,D27,0)*K27</f>
        <v>0</v>
      </c>
      <c r="N27" s="179">
        <f ca="1">L27/Cost_Ingredients!$J$21</f>
        <v>0</v>
      </c>
      <c r="O27" s="179">
        <f ca="1">M27/Cost_Ingredients!$J$21</f>
        <v>0</v>
      </c>
      <c r="P27" s="151"/>
    </row>
    <row r="28" spans="4:16" s="23" customFormat="1" outlineLevel="1">
      <c r="D28" s="746">
        <v>1</v>
      </c>
      <c r="E28" s="746"/>
      <c r="F28" s="746"/>
      <c r="G28" s="749"/>
      <c r="H28" s="151"/>
      <c r="I28" s="31">
        <v>1</v>
      </c>
      <c r="J28" s="64">
        <v>0</v>
      </c>
      <c r="K28" s="135">
        <f t="shared" si="0"/>
        <v>0</v>
      </c>
      <c r="L28" s="162">
        <f ca="1">OFFSET(Cost_Ingredients!$N$73,D28,0)*K28</f>
        <v>0</v>
      </c>
      <c r="M28" s="162">
        <f ca="1">OFFSET(Cost_Ingredients!$O$73,D28,0)*K28</f>
        <v>0</v>
      </c>
      <c r="N28" s="179">
        <f ca="1">L28/Cost_Ingredients!$J$21</f>
        <v>0</v>
      </c>
      <c r="O28" s="179">
        <f ca="1">M28/Cost_Ingredients!$J$21</f>
        <v>0</v>
      </c>
      <c r="P28" s="151"/>
    </row>
    <row r="29" spans="4:16" s="23" customFormat="1" outlineLevel="1">
      <c r="D29" s="746">
        <v>1</v>
      </c>
      <c r="E29" s="746"/>
      <c r="F29" s="746"/>
      <c r="G29" s="749"/>
      <c r="H29" s="151"/>
      <c r="I29" s="31">
        <v>1</v>
      </c>
      <c r="J29" s="64">
        <v>0</v>
      </c>
      <c r="K29" s="135">
        <f t="shared" si="0"/>
        <v>0</v>
      </c>
      <c r="L29" s="162">
        <f ca="1">OFFSET(Cost_Ingredients!$N$73,D29,0)*K29</f>
        <v>0</v>
      </c>
      <c r="M29" s="162">
        <f ca="1">OFFSET(Cost_Ingredients!$O$73,D29,0)*K29</f>
        <v>0</v>
      </c>
      <c r="N29" s="179">
        <f ca="1">L29/Cost_Ingredients!$J$21</f>
        <v>0</v>
      </c>
      <c r="O29" s="179">
        <f ca="1">M29/Cost_Ingredients!$J$21</f>
        <v>0</v>
      </c>
      <c r="P29" s="151"/>
    </row>
    <row r="30" spans="4:16" s="23" customFormat="1" outlineLevel="1">
      <c r="D30" s="746">
        <v>1</v>
      </c>
      <c r="E30" s="746"/>
      <c r="F30" s="746"/>
      <c r="G30" s="749"/>
      <c r="H30" s="172"/>
      <c r="I30" s="31">
        <v>1</v>
      </c>
      <c r="J30" s="173">
        <v>0</v>
      </c>
      <c r="K30" s="135">
        <f t="shared" si="0"/>
        <v>0</v>
      </c>
      <c r="L30" s="162">
        <f ca="1">OFFSET(Cost_Ingredients!$N$73,D30,0)*K30</f>
        <v>0</v>
      </c>
      <c r="M30" s="162">
        <f ca="1">OFFSET(Cost_Ingredients!$O$73,D30,0)*K30</f>
        <v>0</v>
      </c>
      <c r="N30" s="179">
        <f ca="1">L30/Cost_Ingredients!$J$21</f>
        <v>0</v>
      </c>
      <c r="O30" s="179">
        <f ca="1">M30/Cost_Ingredients!$J$21</f>
        <v>0</v>
      </c>
      <c r="P30" s="172"/>
    </row>
    <row r="31" spans="4:16" s="23" customFormat="1">
      <c r="D31" s="774" t="str">
        <f>"Subtotal - "&amp;C14</f>
        <v xml:space="preserve">Subtotal - Personnel </v>
      </c>
      <c r="E31" s="774"/>
      <c r="F31" s="774"/>
      <c r="G31" s="774"/>
      <c r="H31" s="156"/>
      <c r="I31" s="12"/>
      <c r="J31" s="69"/>
      <c r="K31" s="18"/>
      <c r="L31" s="255">
        <f ca="1">SUM(L16:L30)</f>
        <v>0</v>
      </c>
      <c r="M31" s="255">
        <f ca="1">SUM(M16:M30)</f>
        <v>5421.2454545454548</v>
      </c>
      <c r="N31" s="258">
        <f ca="1">SUM(N16:N30)</f>
        <v>0</v>
      </c>
      <c r="O31" s="258">
        <f ca="1">SUM(O16:O30)</f>
        <v>36.141636363636366</v>
      </c>
      <c r="P31" s="156"/>
    </row>
    <row r="32" spans="4:16" s="23" customFormat="1"/>
    <row r="33" spans="3:16" s="23" customFormat="1">
      <c r="C33" s="153" t="str">
        <f>FLU_LU!$D$279</f>
        <v>Allowances</v>
      </c>
    </row>
    <row r="34" spans="3:16" s="23" customFormat="1" ht="28.8" outlineLevel="1">
      <c r="D34" s="733" t="s">
        <v>100</v>
      </c>
      <c r="E34" s="733"/>
      <c r="F34" s="733"/>
      <c r="G34" s="733"/>
      <c r="H34" s="730" t="s">
        <v>274</v>
      </c>
      <c r="I34" s="730"/>
      <c r="J34" s="152" t="s">
        <v>67</v>
      </c>
      <c r="L34" s="28" t="str">
        <f>"Financial Price ("&amp;FLU_LU!$D$79&amp;")"</f>
        <v>Financial Price (GOZ)</v>
      </c>
      <c r="M34" s="28" t="str">
        <f>"Economic Price ("&amp;FLU_LU!$D$79&amp;")"</f>
        <v>Economic Price (GOZ)</v>
      </c>
      <c r="N34" s="28" t="str">
        <f>"Financial Price ("&amp;FLU_LU!$D$78&amp;")"</f>
        <v>Financial Price (USD)</v>
      </c>
      <c r="O34" s="28" t="str">
        <f>"Economic Price ("&amp;FLU_LU!$D$78&amp;")"</f>
        <v>Economic Price (USD)</v>
      </c>
      <c r="P34" s="152" t="s">
        <v>68</v>
      </c>
    </row>
    <row r="35" spans="3:16" s="23" customFormat="1" outlineLevel="1">
      <c r="D35" s="746">
        <v>1</v>
      </c>
      <c r="E35" s="747"/>
      <c r="F35" s="747"/>
      <c r="G35" s="748"/>
      <c r="H35" s="667"/>
      <c r="I35" s="667"/>
      <c r="J35" s="64"/>
      <c r="L35" s="162">
        <f ca="1">OFFSET(Cost_Ingredients!$N$103,D35,0)*J35</f>
        <v>0</v>
      </c>
      <c r="M35" s="162">
        <f ca="1">OFFSET(Cost_Ingredients!$O$103,D35,0)*J35</f>
        <v>0</v>
      </c>
      <c r="N35" s="163">
        <f ca="1">L35/Cost_Ingredients!$J$21</f>
        <v>0</v>
      </c>
      <c r="O35" s="163">
        <f ca="1">M35/Cost_Ingredients!$J$21</f>
        <v>0</v>
      </c>
      <c r="P35" s="151"/>
    </row>
    <row r="36" spans="3:16" s="23" customFormat="1" outlineLevel="1">
      <c r="D36" s="746">
        <v>1</v>
      </c>
      <c r="E36" s="747"/>
      <c r="F36" s="747"/>
      <c r="G36" s="748"/>
      <c r="H36" s="667"/>
      <c r="I36" s="667"/>
      <c r="J36" s="64"/>
      <c r="L36" s="162">
        <f ca="1">OFFSET(Cost_Ingredients!$N$103,D36,0)*J36</f>
        <v>0</v>
      </c>
      <c r="M36" s="162">
        <f ca="1">OFFSET(Cost_Ingredients!$O$103,D36,0)*J36</f>
        <v>0</v>
      </c>
      <c r="N36" s="163">
        <f ca="1">L36/Cost_Ingredients!$J$21</f>
        <v>0</v>
      </c>
      <c r="O36" s="163">
        <f ca="1">M36/Cost_Ingredients!$J$21</f>
        <v>0</v>
      </c>
      <c r="P36" s="151"/>
    </row>
    <row r="37" spans="3:16" s="23" customFormat="1" outlineLevel="1">
      <c r="D37" s="746">
        <v>1</v>
      </c>
      <c r="E37" s="747"/>
      <c r="F37" s="747"/>
      <c r="G37" s="748"/>
      <c r="H37" s="667"/>
      <c r="I37" s="667"/>
      <c r="J37" s="64"/>
      <c r="L37" s="162">
        <f ca="1">OFFSET(Cost_Ingredients!$N$103,D37,0)*J37</f>
        <v>0</v>
      </c>
      <c r="M37" s="162">
        <f ca="1">OFFSET(Cost_Ingredients!$O$103,D37,0)*J37</f>
        <v>0</v>
      </c>
      <c r="N37" s="163">
        <f ca="1">L37/Cost_Ingredients!$J$21</f>
        <v>0</v>
      </c>
      <c r="O37" s="163">
        <f ca="1">M37/Cost_Ingredients!$J$21</f>
        <v>0</v>
      </c>
      <c r="P37" s="151"/>
    </row>
    <row r="38" spans="3:16" s="23" customFormat="1" outlineLevel="1">
      <c r="D38" s="746">
        <v>1</v>
      </c>
      <c r="E38" s="747"/>
      <c r="F38" s="747"/>
      <c r="G38" s="748"/>
      <c r="H38" s="667"/>
      <c r="I38" s="667"/>
      <c r="J38" s="64"/>
      <c r="L38" s="162">
        <f ca="1">OFFSET(Cost_Ingredients!$N$103,D38,0)*J38</f>
        <v>0</v>
      </c>
      <c r="M38" s="162">
        <f ca="1">OFFSET(Cost_Ingredients!$O$103,D38,0)*J38</f>
        <v>0</v>
      </c>
      <c r="N38" s="163">
        <f ca="1">L38/Cost_Ingredients!$J$21</f>
        <v>0</v>
      </c>
      <c r="O38" s="163">
        <f ca="1">M38/Cost_Ingredients!$J$21</f>
        <v>0</v>
      </c>
      <c r="P38" s="151"/>
    </row>
    <row r="39" spans="3:16" s="23" customFormat="1" outlineLevel="1">
      <c r="D39" s="746">
        <v>1</v>
      </c>
      <c r="E39" s="747"/>
      <c r="F39" s="747"/>
      <c r="G39" s="748"/>
      <c r="H39" s="667"/>
      <c r="I39" s="667"/>
      <c r="J39" s="64"/>
      <c r="L39" s="162">
        <f ca="1">OFFSET(Cost_Ingredients!$N$103,D39,0)*J39</f>
        <v>0</v>
      </c>
      <c r="M39" s="162">
        <f ca="1">OFFSET(Cost_Ingredients!$O$103,D39,0)*J39</f>
        <v>0</v>
      </c>
      <c r="N39" s="163">
        <f ca="1">L39/Cost_Ingredients!$J$21</f>
        <v>0</v>
      </c>
      <c r="O39" s="163">
        <f ca="1">M39/Cost_Ingredients!$J$21</f>
        <v>0</v>
      </c>
      <c r="P39" s="151"/>
    </row>
    <row r="40" spans="3:16" s="23" customFormat="1" outlineLevel="1">
      <c r="D40" s="746">
        <v>1</v>
      </c>
      <c r="E40" s="747"/>
      <c r="F40" s="747"/>
      <c r="G40" s="748"/>
      <c r="H40" s="667"/>
      <c r="I40" s="667"/>
      <c r="J40" s="64"/>
      <c r="L40" s="162">
        <f ca="1">OFFSET(Cost_Ingredients!$N$103,D40,0)*J40</f>
        <v>0</v>
      </c>
      <c r="M40" s="162">
        <f ca="1">OFFSET(Cost_Ingredients!$O$103,D40,0)*J40</f>
        <v>0</v>
      </c>
      <c r="N40" s="163">
        <f ca="1">L40/Cost_Ingredients!$J$21</f>
        <v>0</v>
      </c>
      <c r="O40" s="163">
        <f ca="1">M40/Cost_Ingredients!$J$21</f>
        <v>0</v>
      </c>
      <c r="P40" s="151"/>
    </row>
    <row r="41" spans="3:16" s="23" customFormat="1" outlineLevel="1">
      <c r="D41" s="746">
        <v>1</v>
      </c>
      <c r="E41" s="747"/>
      <c r="F41" s="747"/>
      <c r="G41" s="748"/>
      <c r="H41" s="667"/>
      <c r="I41" s="667"/>
      <c r="J41" s="64"/>
      <c r="L41" s="162">
        <f ca="1">OFFSET(Cost_Ingredients!$N$103,D41,0)*J41</f>
        <v>0</v>
      </c>
      <c r="M41" s="162">
        <f ca="1">OFFSET(Cost_Ingredients!$O$103,D41,0)*J41</f>
        <v>0</v>
      </c>
      <c r="N41" s="163">
        <f ca="1">L41/Cost_Ingredients!$J$21</f>
        <v>0</v>
      </c>
      <c r="O41" s="163">
        <f ca="1">M41/Cost_Ingredients!$J$21</f>
        <v>0</v>
      </c>
      <c r="P41" s="151"/>
    </row>
    <row r="42" spans="3:16" s="23" customFormat="1" outlineLevel="1">
      <c r="D42" s="746">
        <v>1</v>
      </c>
      <c r="E42" s="747"/>
      <c r="F42" s="747"/>
      <c r="G42" s="748"/>
      <c r="H42" s="667"/>
      <c r="I42" s="667"/>
      <c r="J42" s="64"/>
      <c r="L42" s="162">
        <f ca="1">OFFSET(Cost_Ingredients!$N$103,D42,0)*J42</f>
        <v>0</v>
      </c>
      <c r="M42" s="162">
        <f ca="1">OFFSET(Cost_Ingredients!$O$103,D42,0)*J42</f>
        <v>0</v>
      </c>
      <c r="N42" s="163">
        <f ca="1">L42/Cost_Ingredients!$J$21</f>
        <v>0</v>
      </c>
      <c r="O42" s="163">
        <f ca="1">M42/Cost_Ingredients!$J$21</f>
        <v>0</v>
      </c>
      <c r="P42" s="151"/>
    </row>
    <row r="43" spans="3:16" s="23" customFormat="1" outlineLevel="1">
      <c r="D43" s="746">
        <v>1</v>
      </c>
      <c r="E43" s="747"/>
      <c r="F43" s="747"/>
      <c r="G43" s="748"/>
      <c r="H43" s="667"/>
      <c r="I43" s="667"/>
      <c r="J43" s="64"/>
      <c r="L43" s="162">
        <f ca="1">OFFSET(Cost_Ingredients!$N$103,D43,0)*J43</f>
        <v>0</v>
      </c>
      <c r="M43" s="162">
        <f ca="1">OFFSET(Cost_Ingredients!$O$103,D43,0)*J43</f>
        <v>0</v>
      </c>
      <c r="N43" s="163">
        <f ca="1">L43/Cost_Ingredients!$J$21</f>
        <v>0</v>
      </c>
      <c r="O43" s="163">
        <f ca="1">M43/Cost_Ingredients!$J$21</f>
        <v>0</v>
      </c>
      <c r="P43" s="151"/>
    </row>
    <row r="44" spans="3:16" s="23" customFormat="1" outlineLevel="1">
      <c r="D44" s="746">
        <v>1</v>
      </c>
      <c r="E44" s="747"/>
      <c r="F44" s="747"/>
      <c r="G44" s="748"/>
      <c r="H44" s="667"/>
      <c r="I44" s="667"/>
      <c r="J44" s="64"/>
      <c r="L44" s="162">
        <f ca="1">OFFSET(Cost_Ingredients!$N$103,D44,0)*J44</f>
        <v>0</v>
      </c>
      <c r="M44" s="162">
        <f ca="1">OFFSET(Cost_Ingredients!$O$103,D44,0)*J44</f>
        <v>0</v>
      </c>
      <c r="N44" s="163">
        <f ca="1">L44/Cost_Ingredients!$J$21</f>
        <v>0</v>
      </c>
      <c r="O44" s="163">
        <f ca="1">M44/Cost_Ingredients!$J$21</f>
        <v>0</v>
      </c>
      <c r="P44" s="151"/>
    </row>
    <row r="45" spans="3:16" s="23" customFormat="1" outlineLevel="1">
      <c r="D45" s="746">
        <v>1</v>
      </c>
      <c r="E45" s="747"/>
      <c r="F45" s="747"/>
      <c r="G45" s="748"/>
      <c r="H45" s="667"/>
      <c r="I45" s="667"/>
      <c r="J45" s="64"/>
      <c r="L45" s="162">
        <f ca="1">OFFSET(Cost_Ingredients!$N$103,D45,0)*J45</f>
        <v>0</v>
      </c>
      <c r="M45" s="162">
        <f ca="1">OFFSET(Cost_Ingredients!$O$103,D45,0)*J45</f>
        <v>0</v>
      </c>
      <c r="N45" s="163">
        <f ca="1">L45/Cost_Ingredients!$J$21</f>
        <v>0</v>
      </c>
      <c r="O45" s="163">
        <f ca="1">M45/Cost_Ingredients!$J$21</f>
        <v>0</v>
      </c>
      <c r="P45" s="151"/>
    </row>
    <row r="46" spans="3:16" s="23" customFormat="1" outlineLevel="1">
      <c r="D46" s="746">
        <v>1</v>
      </c>
      <c r="E46" s="747"/>
      <c r="F46" s="747"/>
      <c r="G46" s="748"/>
      <c r="H46" s="667"/>
      <c r="I46" s="667"/>
      <c r="J46" s="64"/>
      <c r="L46" s="162">
        <f ca="1">OFFSET(Cost_Ingredients!$N$103,D46,0)*J46</f>
        <v>0</v>
      </c>
      <c r="M46" s="162">
        <f ca="1">OFFSET(Cost_Ingredients!$O$103,D46,0)*J46</f>
        <v>0</v>
      </c>
      <c r="N46" s="163">
        <f ca="1">L46/Cost_Ingredients!$J$21</f>
        <v>0</v>
      </c>
      <c r="O46" s="163">
        <f ca="1">M46/Cost_Ingredients!$J$21</f>
        <v>0</v>
      </c>
      <c r="P46" s="151"/>
    </row>
    <row r="47" spans="3:16" s="23" customFormat="1" outlineLevel="1">
      <c r="D47" s="746">
        <v>1</v>
      </c>
      <c r="E47" s="747"/>
      <c r="F47" s="747"/>
      <c r="G47" s="748"/>
      <c r="H47" s="667"/>
      <c r="I47" s="667"/>
      <c r="J47" s="64"/>
      <c r="L47" s="162">
        <f ca="1">OFFSET(Cost_Ingredients!$N$103,D47,0)*J47</f>
        <v>0</v>
      </c>
      <c r="M47" s="162">
        <f ca="1">OFFSET(Cost_Ingredients!$O$103,D47,0)*J47</f>
        <v>0</v>
      </c>
      <c r="N47" s="163">
        <f ca="1">L47/Cost_Ingredients!$J$21</f>
        <v>0</v>
      </c>
      <c r="O47" s="163">
        <f ca="1">M47/Cost_Ingredients!$J$21</f>
        <v>0</v>
      </c>
      <c r="P47" s="151"/>
    </row>
    <row r="48" spans="3:16" s="23" customFormat="1" outlineLevel="1">
      <c r="D48" s="746">
        <v>1</v>
      </c>
      <c r="E48" s="747"/>
      <c r="F48" s="747"/>
      <c r="G48" s="748"/>
      <c r="H48" s="667"/>
      <c r="I48" s="667"/>
      <c r="J48" s="64"/>
      <c r="L48" s="162">
        <f ca="1">OFFSET(Cost_Ingredients!$N$103,D48,0)*J48</f>
        <v>0</v>
      </c>
      <c r="M48" s="162">
        <f ca="1">OFFSET(Cost_Ingredients!$O$103,D48,0)*J48</f>
        <v>0</v>
      </c>
      <c r="N48" s="163">
        <f ca="1">L48/Cost_Ingredients!$J$21</f>
        <v>0</v>
      </c>
      <c r="O48" s="163">
        <f ca="1">M48/Cost_Ingredients!$J$21</f>
        <v>0</v>
      </c>
      <c r="P48" s="151"/>
    </row>
    <row r="49" spans="3:16" s="23" customFormat="1" outlineLevel="1">
      <c r="D49" s="746">
        <v>1</v>
      </c>
      <c r="E49" s="747"/>
      <c r="F49" s="747"/>
      <c r="G49" s="748"/>
      <c r="H49" s="745"/>
      <c r="I49" s="745"/>
      <c r="J49" s="173">
        <v>0</v>
      </c>
      <c r="L49" s="162">
        <f ca="1">OFFSET(Cost_Ingredients!$N$103,D49,0)*J49</f>
        <v>0</v>
      </c>
      <c r="M49" s="162">
        <f ca="1">OFFSET(Cost_Ingredients!$O$103,D49,0)*J49</f>
        <v>0</v>
      </c>
      <c r="N49" s="163">
        <f ca="1">L49/Cost_Ingredients!$J$21</f>
        <v>0</v>
      </c>
      <c r="O49" s="163">
        <f ca="1">M49/Cost_Ingredients!$J$21</f>
        <v>0</v>
      </c>
      <c r="P49" s="172"/>
    </row>
    <row r="50" spans="3:16" s="23" customFormat="1">
      <c r="D50" s="754" t="str">
        <f>"Subtotal - "&amp;C33</f>
        <v>Subtotal - Allowances</v>
      </c>
      <c r="E50" s="755"/>
      <c r="F50" s="755"/>
      <c r="G50" s="755"/>
      <c r="H50" s="156"/>
      <c r="I50" s="156"/>
      <c r="J50" s="69"/>
      <c r="L50" s="255">
        <f ca="1">SUM(L35:L49)</f>
        <v>0</v>
      </c>
      <c r="M50" s="255">
        <f ca="1">SUM(M35:M49)</f>
        <v>0</v>
      </c>
      <c r="N50" s="258">
        <f ca="1">SUM(N35:N49)</f>
        <v>0</v>
      </c>
      <c r="O50" s="258">
        <f ca="1">SUM(O35:O49)</f>
        <v>0</v>
      </c>
      <c r="P50" s="156"/>
    </row>
    <row r="51" spans="3:16" s="23" customFormat="1"/>
    <row r="52" spans="3:16" s="23" customFormat="1">
      <c r="C52" s="153" t="str">
        <f>FLU_LU!$D$280</f>
        <v>Supplies &amp; Materials</v>
      </c>
    </row>
    <row r="53" spans="3:16" s="23" customFormat="1" ht="28.8" outlineLevel="1">
      <c r="D53" s="733" t="s">
        <v>100</v>
      </c>
      <c r="E53" s="733"/>
      <c r="F53" s="733"/>
      <c r="G53" s="733"/>
      <c r="H53" s="142" t="s">
        <v>274</v>
      </c>
      <c r="I53" s="72" t="s">
        <v>275</v>
      </c>
      <c r="J53" s="152" t="s">
        <v>67</v>
      </c>
      <c r="L53" s="28" t="str">
        <f>"Financial Price ("&amp;FLU_LU!$D$79&amp;")"</f>
        <v>Financial Price (GOZ)</v>
      </c>
      <c r="M53" s="28" t="str">
        <f>"Economic Price ("&amp;FLU_LU!$D$79&amp;")"</f>
        <v>Economic Price (GOZ)</v>
      </c>
      <c r="N53" s="28" t="str">
        <f>"Financial Price ("&amp;FLU_LU!$D$78&amp;")"</f>
        <v>Financial Price (USD)</v>
      </c>
      <c r="O53" s="28" t="str">
        <f>"Economic Price ("&amp;FLU_LU!$D$78&amp;")"</f>
        <v>Economic Price (USD)</v>
      </c>
      <c r="P53" s="152" t="s">
        <v>68</v>
      </c>
    </row>
    <row r="54" spans="3:16" s="23" customFormat="1" outlineLevel="1">
      <c r="D54" s="746">
        <v>8</v>
      </c>
      <c r="E54" s="747"/>
      <c r="F54" s="747"/>
      <c r="G54" s="748"/>
      <c r="H54" s="151" t="s">
        <v>680</v>
      </c>
      <c r="I54" s="159" t="str">
        <f ca="1">OFFSET(Cost_Ingredients!$M$117,D54,0)</f>
        <v>1 entry</v>
      </c>
      <c r="J54" s="64">
        <v>19</v>
      </c>
      <c r="L54" s="162">
        <f ca="1">OFFSET(Cost_Ingredients!$N$117,D54,0)*J54</f>
        <v>0</v>
      </c>
      <c r="M54" s="162">
        <f ca="1">OFFSET(Cost_Ingredients!$O$117,D54,0)*J54</f>
        <v>228</v>
      </c>
      <c r="N54" s="163">
        <f ca="1">L54/Cost_Ingredients!$J$21</f>
        <v>0</v>
      </c>
      <c r="O54" s="163">
        <f ca="1">M54/Cost_Ingredients!$J$21</f>
        <v>1.52</v>
      </c>
      <c r="P54" s="151" t="s">
        <v>495</v>
      </c>
    </row>
    <row r="55" spans="3:16" s="23" customFormat="1" outlineLevel="1">
      <c r="D55" s="746">
        <v>7</v>
      </c>
      <c r="E55" s="747"/>
      <c r="F55" s="747"/>
      <c r="G55" s="748"/>
      <c r="H55" s="151" t="s">
        <v>681</v>
      </c>
      <c r="I55" s="159" t="str">
        <f ca="1">OFFSET(Cost_Ingredients!$M$117,D55,0)</f>
        <v>1 sheet</v>
      </c>
      <c r="J55" s="64">
        <v>1</v>
      </c>
      <c r="L55" s="162">
        <f ca="1">OFFSET(Cost_Ingredients!$N$117,D55,0)*J55</f>
        <v>0</v>
      </c>
      <c r="M55" s="162">
        <f ca="1">OFFSET(Cost_Ingredients!$O$117,D55,0)*J55</f>
        <v>10</v>
      </c>
      <c r="N55" s="163">
        <f ca="1">L55/Cost_Ingredients!$J$21</f>
        <v>0</v>
      </c>
      <c r="O55" s="163">
        <f ca="1">M55/Cost_Ingredients!$J$21</f>
        <v>6.6666666666666666E-2</v>
      </c>
      <c r="P55" s="151"/>
    </row>
    <row r="56" spans="3:16" s="23" customFormat="1" outlineLevel="1">
      <c r="D56" s="746">
        <v>1</v>
      </c>
      <c r="E56" s="747"/>
      <c r="F56" s="747"/>
      <c r="G56" s="748"/>
      <c r="H56" s="151"/>
      <c r="I56" s="159">
        <f ca="1">OFFSET(Cost_Ingredients!$M$117,D56,0)</f>
        <v>0</v>
      </c>
      <c r="J56" s="64">
        <v>0</v>
      </c>
      <c r="L56" s="162">
        <f ca="1">OFFSET(Cost_Ingredients!$N$117,D56,0)*J56</f>
        <v>0</v>
      </c>
      <c r="M56" s="162">
        <f ca="1">OFFSET(Cost_Ingredients!$O$117,D56,0)*J56</f>
        <v>0</v>
      </c>
      <c r="N56" s="163">
        <f ca="1">L56/Cost_Ingredients!$J$21</f>
        <v>0</v>
      </c>
      <c r="O56" s="163">
        <f ca="1">M56/Cost_Ingredients!$J$21</f>
        <v>0</v>
      </c>
      <c r="P56" s="151"/>
    </row>
    <row r="57" spans="3:16" s="23" customFormat="1" outlineLevel="1">
      <c r="D57" s="746">
        <v>1</v>
      </c>
      <c r="E57" s="747"/>
      <c r="F57" s="747"/>
      <c r="G57" s="748"/>
      <c r="H57" s="151"/>
      <c r="I57" s="159">
        <f ca="1">OFFSET(Cost_Ingredients!$M$117,D57,0)</f>
        <v>0</v>
      </c>
      <c r="J57" s="64">
        <v>0</v>
      </c>
      <c r="L57" s="162">
        <f ca="1">OFFSET(Cost_Ingredients!$N$117,D57,0)*J57</f>
        <v>0</v>
      </c>
      <c r="M57" s="162">
        <f ca="1">OFFSET(Cost_Ingredients!$O$117,D57,0)*J57</f>
        <v>0</v>
      </c>
      <c r="N57" s="163">
        <f ca="1">L57/Cost_Ingredients!$J$21</f>
        <v>0</v>
      </c>
      <c r="O57" s="163">
        <f ca="1">M57/Cost_Ingredients!$J$21</f>
        <v>0</v>
      </c>
      <c r="P57" s="151"/>
    </row>
    <row r="58" spans="3:16" s="23" customFormat="1" outlineLevel="1">
      <c r="D58" s="746">
        <v>1</v>
      </c>
      <c r="E58" s="747"/>
      <c r="F58" s="747"/>
      <c r="G58" s="748"/>
      <c r="H58" s="151"/>
      <c r="I58" s="159">
        <f ca="1">OFFSET(Cost_Ingredients!$M$117,D58,0)</f>
        <v>0</v>
      </c>
      <c r="J58" s="64">
        <v>0</v>
      </c>
      <c r="L58" s="162">
        <f ca="1">OFFSET(Cost_Ingredients!$N$117,D58,0)*J58</f>
        <v>0</v>
      </c>
      <c r="M58" s="162">
        <f ca="1">OFFSET(Cost_Ingredients!$O$117,D58,0)*J58</f>
        <v>0</v>
      </c>
      <c r="N58" s="163">
        <f ca="1">L58/Cost_Ingredients!$J$21</f>
        <v>0</v>
      </c>
      <c r="O58" s="163">
        <f ca="1">M58/Cost_Ingredients!$J$21</f>
        <v>0</v>
      </c>
      <c r="P58" s="151"/>
    </row>
    <row r="59" spans="3:16" s="23" customFormat="1" outlineLevel="1">
      <c r="D59" s="746">
        <v>1</v>
      </c>
      <c r="E59" s="747"/>
      <c r="F59" s="747"/>
      <c r="G59" s="748"/>
      <c r="H59" s="151"/>
      <c r="I59" s="159">
        <f ca="1">OFFSET(Cost_Ingredients!$M$117,D59,0)</f>
        <v>0</v>
      </c>
      <c r="J59" s="64">
        <v>0</v>
      </c>
      <c r="L59" s="162">
        <f ca="1">OFFSET(Cost_Ingredients!$N$117,D59,0)*J59</f>
        <v>0</v>
      </c>
      <c r="M59" s="162">
        <f ca="1">OFFSET(Cost_Ingredients!$O$117,D59,0)*J59</f>
        <v>0</v>
      </c>
      <c r="N59" s="163">
        <f ca="1">L59/Cost_Ingredients!$J$21</f>
        <v>0</v>
      </c>
      <c r="O59" s="163">
        <f ca="1">M59/Cost_Ingredients!$J$21</f>
        <v>0</v>
      </c>
      <c r="P59" s="151"/>
    </row>
    <row r="60" spans="3:16" s="23" customFormat="1" outlineLevel="1">
      <c r="D60" s="746">
        <v>1</v>
      </c>
      <c r="E60" s="747"/>
      <c r="F60" s="747"/>
      <c r="G60" s="748"/>
      <c r="H60" s="151"/>
      <c r="I60" s="159">
        <f ca="1">OFFSET(Cost_Ingredients!$M$117,D60,0)</f>
        <v>0</v>
      </c>
      <c r="J60" s="64">
        <v>0</v>
      </c>
      <c r="L60" s="162">
        <f ca="1">OFFSET(Cost_Ingredients!$N$117,D60,0)*J60</f>
        <v>0</v>
      </c>
      <c r="M60" s="162">
        <f ca="1">OFFSET(Cost_Ingredients!$O$117,D60,0)*J60</f>
        <v>0</v>
      </c>
      <c r="N60" s="163">
        <f ca="1">L60/Cost_Ingredients!$J$21</f>
        <v>0</v>
      </c>
      <c r="O60" s="163">
        <f ca="1">M60/Cost_Ingredients!$J$21</f>
        <v>0</v>
      </c>
      <c r="P60" s="151"/>
    </row>
    <row r="61" spans="3:16" s="23" customFormat="1" outlineLevel="1">
      <c r="D61" s="746">
        <v>1</v>
      </c>
      <c r="E61" s="747"/>
      <c r="F61" s="747"/>
      <c r="G61" s="748"/>
      <c r="H61" s="151"/>
      <c r="I61" s="159">
        <f ca="1">OFFSET(Cost_Ingredients!$M$117,D61,0)</f>
        <v>0</v>
      </c>
      <c r="J61" s="64">
        <v>0</v>
      </c>
      <c r="L61" s="162">
        <f ca="1">OFFSET(Cost_Ingredients!$N$117,D61,0)*J61</f>
        <v>0</v>
      </c>
      <c r="M61" s="162">
        <f ca="1">OFFSET(Cost_Ingredients!$O$117,D61,0)*J61</f>
        <v>0</v>
      </c>
      <c r="N61" s="163">
        <f ca="1">L61/Cost_Ingredients!$J$21</f>
        <v>0</v>
      </c>
      <c r="O61" s="163">
        <f ca="1">M61/Cost_Ingredients!$J$21</f>
        <v>0</v>
      </c>
      <c r="P61" s="151"/>
    </row>
    <row r="62" spans="3:16" s="23" customFormat="1" outlineLevel="1">
      <c r="D62" s="746">
        <v>1</v>
      </c>
      <c r="E62" s="747"/>
      <c r="F62" s="747"/>
      <c r="G62" s="748"/>
      <c r="H62" s="151"/>
      <c r="I62" s="159">
        <f ca="1">OFFSET(Cost_Ingredients!$M$117,D62,0)</f>
        <v>0</v>
      </c>
      <c r="J62" s="64">
        <v>0</v>
      </c>
      <c r="L62" s="162">
        <f ca="1">OFFSET(Cost_Ingredients!$N$117,D62,0)*J62</f>
        <v>0</v>
      </c>
      <c r="M62" s="162">
        <f ca="1">OFFSET(Cost_Ingredients!$O$117,D62,0)*J62</f>
        <v>0</v>
      </c>
      <c r="N62" s="163">
        <f ca="1">L62/Cost_Ingredients!$J$21</f>
        <v>0</v>
      </c>
      <c r="O62" s="163">
        <f ca="1">M62/Cost_Ingredients!$J$21</f>
        <v>0</v>
      </c>
      <c r="P62" s="151"/>
    </row>
    <row r="63" spans="3:16" s="23" customFormat="1" outlineLevel="1">
      <c r="D63" s="746">
        <v>1</v>
      </c>
      <c r="E63" s="747"/>
      <c r="F63" s="747"/>
      <c r="G63" s="748"/>
      <c r="H63" s="151"/>
      <c r="I63" s="159">
        <f ca="1">OFFSET(Cost_Ingredients!$M$117,D63,0)</f>
        <v>0</v>
      </c>
      <c r="J63" s="64">
        <v>0</v>
      </c>
      <c r="L63" s="162">
        <f ca="1">OFFSET(Cost_Ingredients!$N$117,D63,0)*J63</f>
        <v>0</v>
      </c>
      <c r="M63" s="162">
        <f ca="1">OFFSET(Cost_Ingredients!$O$117,D63,0)*J63</f>
        <v>0</v>
      </c>
      <c r="N63" s="163">
        <f ca="1">L63/Cost_Ingredients!$J$21</f>
        <v>0</v>
      </c>
      <c r="O63" s="163">
        <f ca="1">M63/Cost_Ingredients!$J$21</f>
        <v>0</v>
      </c>
      <c r="P63" s="151"/>
    </row>
    <row r="64" spans="3:16" s="23" customFormat="1" outlineLevel="1">
      <c r="D64" s="746">
        <v>1</v>
      </c>
      <c r="E64" s="747"/>
      <c r="F64" s="747"/>
      <c r="G64" s="748"/>
      <c r="H64" s="151"/>
      <c r="I64" s="159">
        <f ca="1">OFFSET(Cost_Ingredients!$M$117,D64,0)</f>
        <v>0</v>
      </c>
      <c r="J64" s="64">
        <v>0</v>
      </c>
      <c r="L64" s="162">
        <f ca="1">OFFSET(Cost_Ingredients!$N$117,D64,0)*J64</f>
        <v>0</v>
      </c>
      <c r="M64" s="162">
        <f ca="1">OFFSET(Cost_Ingredients!$O$117,D64,0)*J64</f>
        <v>0</v>
      </c>
      <c r="N64" s="163">
        <f ca="1">L64/Cost_Ingredients!$J$21</f>
        <v>0</v>
      </c>
      <c r="O64" s="163">
        <f ca="1">M64/Cost_Ingredients!$J$21</f>
        <v>0</v>
      </c>
      <c r="P64" s="151"/>
    </row>
    <row r="65" spans="3:16" s="23" customFormat="1" outlineLevel="1">
      <c r="D65" s="746">
        <v>1</v>
      </c>
      <c r="E65" s="747"/>
      <c r="F65" s="747"/>
      <c r="G65" s="748"/>
      <c r="H65" s="151"/>
      <c r="I65" s="159">
        <f ca="1">OFFSET(Cost_Ingredients!$M$117,D65,0)</f>
        <v>0</v>
      </c>
      <c r="J65" s="64">
        <v>0</v>
      </c>
      <c r="L65" s="162">
        <f ca="1">OFFSET(Cost_Ingredients!$N$117,D65,0)*J65</f>
        <v>0</v>
      </c>
      <c r="M65" s="162">
        <f ca="1">OFFSET(Cost_Ingredients!$O$117,D65,0)*J65</f>
        <v>0</v>
      </c>
      <c r="N65" s="163">
        <f ca="1">L65/Cost_Ingredients!$J$21</f>
        <v>0</v>
      </c>
      <c r="O65" s="163">
        <f ca="1">M65/Cost_Ingredients!$J$21</f>
        <v>0</v>
      </c>
      <c r="P65" s="151"/>
    </row>
    <row r="66" spans="3:16" s="23" customFormat="1" outlineLevel="1">
      <c r="D66" s="746">
        <v>1</v>
      </c>
      <c r="E66" s="747"/>
      <c r="F66" s="747"/>
      <c r="G66" s="748"/>
      <c r="H66" s="151"/>
      <c r="I66" s="159">
        <f ca="1">OFFSET(Cost_Ingredients!$M$117,D66,0)</f>
        <v>0</v>
      </c>
      <c r="J66" s="64">
        <v>0</v>
      </c>
      <c r="L66" s="162">
        <f ca="1">OFFSET(Cost_Ingredients!$N$117,D66,0)*J66</f>
        <v>0</v>
      </c>
      <c r="M66" s="162">
        <f ca="1">OFFSET(Cost_Ingredients!$O$117,D66,0)*J66</f>
        <v>0</v>
      </c>
      <c r="N66" s="163">
        <f ca="1">L66/Cost_Ingredients!$J$21</f>
        <v>0</v>
      </c>
      <c r="O66" s="163">
        <f ca="1">M66/Cost_Ingredients!$J$21</f>
        <v>0</v>
      </c>
      <c r="P66" s="151"/>
    </row>
    <row r="67" spans="3:16" s="23" customFormat="1" outlineLevel="1">
      <c r="D67" s="746">
        <v>1</v>
      </c>
      <c r="E67" s="747"/>
      <c r="F67" s="747"/>
      <c r="G67" s="748"/>
      <c r="H67" s="151"/>
      <c r="I67" s="159">
        <f ca="1">OFFSET(Cost_Ingredients!$M$117,D67,0)</f>
        <v>0</v>
      </c>
      <c r="J67" s="64">
        <v>0</v>
      </c>
      <c r="L67" s="162">
        <f ca="1">OFFSET(Cost_Ingredients!$N$117,D67,0)*J67</f>
        <v>0</v>
      </c>
      <c r="M67" s="162">
        <f ca="1">OFFSET(Cost_Ingredients!$O$117,D67,0)*J67</f>
        <v>0</v>
      </c>
      <c r="N67" s="163">
        <f ca="1">L67/Cost_Ingredients!$J$21</f>
        <v>0</v>
      </c>
      <c r="O67" s="163">
        <f ca="1">M67/Cost_Ingredients!$J$21</f>
        <v>0</v>
      </c>
      <c r="P67" s="151"/>
    </row>
    <row r="68" spans="3:16" s="23" customFormat="1" outlineLevel="1">
      <c r="D68" s="746">
        <v>1</v>
      </c>
      <c r="E68" s="747"/>
      <c r="F68" s="747"/>
      <c r="G68" s="748"/>
      <c r="H68" s="172"/>
      <c r="I68" s="159">
        <f ca="1">OFFSET(Cost_Ingredients!$M$117,D68,0)</f>
        <v>0</v>
      </c>
      <c r="J68" s="173">
        <v>0</v>
      </c>
      <c r="L68" s="162">
        <f ca="1">OFFSET(Cost_Ingredients!$N$117,D68,0)*J68</f>
        <v>0</v>
      </c>
      <c r="M68" s="162">
        <f ca="1">OFFSET(Cost_Ingredients!$O$117,D68,0)*J68</f>
        <v>0</v>
      </c>
      <c r="N68" s="163">
        <f ca="1">L68/Cost_Ingredients!$J$21</f>
        <v>0</v>
      </c>
      <c r="O68" s="163">
        <f ca="1">M68/Cost_Ingredients!$J$21</f>
        <v>0</v>
      </c>
      <c r="P68" s="172"/>
    </row>
    <row r="69" spans="3:16" s="23" customFormat="1">
      <c r="D69" s="754" t="str">
        <f>"Subtotal - "&amp;C52</f>
        <v>Subtotal - Supplies &amp; Materials</v>
      </c>
      <c r="E69" s="755"/>
      <c r="F69" s="755"/>
      <c r="G69" s="755"/>
      <c r="H69" s="156"/>
      <c r="I69" s="156"/>
      <c r="J69" s="69"/>
      <c r="L69" s="255">
        <f ca="1">SUM(L54:L68)</f>
        <v>0</v>
      </c>
      <c r="M69" s="255">
        <f ca="1">SUM(M54:M68)</f>
        <v>238</v>
      </c>
      <c r="N69" s="258">
        <f ca="1">SUM(N54:N68)</f>
        <v>0</v>
      </c>
      <c r="O69" s="258">
        <f ca="1">SUM(O54:O68)</f>
        <v>1.5866666666666667</v>
      </c>
      <c r="P69" s="156"/>
    </row>
    <row r="71" spans="3:16">
      <c r="C71" s="153" t="str">
        <f>FLU_LU!$D$281</f>
        <v>Other Direct Costs (Recurrent)</v>
      </c>
    </row>
    <row r="72" spans="3:16" ht="28.8" outlineLevel="1">
      <c r="D72" s="733" t="s">
        <v>100</v>
      </c>
      <c r="E72" s="733"/>
      <c r="F72" s="733"/>
      <c r="G72" s="733"/>
      <c r="H72" s="142" t="s">
        <v>274</v>
      </c>
      <c r="I72" s="72" t="s">
        <v>275</v>
      </c>
      <c r="J72" s="152" t="s">
        <v>67</v>
      </c>
      <c r="L72" s="28" t="str">
        <f>"Financial Price ("&amp;FLU_LU!$D$79&amp;")"</f>
        <v>Financial Price (GOZ)</v>
      </c>
      <c r="M72" s="28" t="str">
        <f>"Economic Price ("&amp;FLU_LU!$D$79&amp;")"</f>
        <v>Economic Price (GOZ)</v>
      </c>
      <c r="N72" s="28" t="str">
        <f>"Financial Price ("&amp;FLU_LU!$D$78&amp;")"</f>
        <v>Financial Price (USD)</v>
      </c>
      <c r="O72" s="28" t="str">
        <f>"Economic Price ("&amp;FLU_LU!$D$78&amp;")"</f>
        <v>Economic Price (USD)</v>
      </c>
      <c r="P72" s="152" t="s">
        <v>68</v>
      </c>
    </row>
    <row r="73" spans="3:16" s="23" customFormat="1" outlineLevel="1">
      <c r="D73" s="746">
        <v>1</v>
      </c>
      <c r="E73" s="747"/>
      <c r="F73" s="747"/>
      <c r="G73" s="748"/>
      <c r="H73" s="151"/>
      <c r="I73" s="159">
        <f ca="1">OFFSET(Cost_Ingredients!$M$146,D73,0)</f>
        <v>0</v>
      </c>
      <c r="J73" s="64">
        <v>0</v>
      </c>
      <c r="L73" s="162">
        <f ca="1">OFFSET(Cost_Ingredients!$N$146,D73,0)*J73</f>
        <v>0</v>
      </c>
      <c r="M73" s="162">
        <f ca="1">OFFSET(Cost_Ingredients!$O$146,D73,0)*J73</f>
        <v>0</v>
      </c>
      <c r="N73" s="163">
        <f ca="1">L73/Cost_Ingredients!$J$21</f>
        <v>0</v>
      </c>
      <c r="O73" s="163">
        <f ca="1">M73/Cost_Ingredients!$J$21</f>
        <v>0</v>
      </c>
      <c r="P73" s="151"/>
    </row>
    <row r="74" spans="3:16" s="23" customFormat="1" outlineLevel="1">
      <c r="D74" s="746">
        <v>1</v>
      </c>
      <c r="E74" s="747"/>
      <c r="F74" s="747"/>
      <c r="G74" s="748"/>
      <c r="H74" s="151"/>
      <c r="I74" s="159">
        <f ca="1">OFFSET(Cost_Ingredients!$M$146,D74,0)</f>
        <v>0</v>
      </c>
      <c r="J74" s="64">
        <v>0</v>
      </c>
      <c r="L74" s="162">
        <f ca="1">OFFSET(Cost_Ingredients!$N$146,D74,0)*J74</f>
        <v>0</v>
      </c>
      <c r="M74" s="162">
        <f ca="1">OFFSET(Cost_Ingredients!$O$146,D74,0)*J74</f>
        <v>0</v>
      </c>
      <c r="N74" s="163">
        <f ca="1">L74/Cost_Ingredients!$J$21</f>
        <v>0</v>
      </c>
      <c r="O74" s="163">
        <f ca="1">M74/Cost_Ingredients!$J$21</f>
        <v>0</v>
      </c>
      <c r="P74" s="151"/>
    </row>
    <row r="75" spans="3:16" s="23" customFormat="1" outlineLevel="1">
      <c r="D75" s="746">
        <v>1</v>
      </c>
      <c r="E75" s="747"/>
      <c r="F75" s="747"/>
      <c r="G75" s="748"/>
      <c r="H75" s="151"/>
      <c r="I75" s="159">
        <f ca="1">OFFSET(Cost_Ingredients!$M$146,D75,0)</f>
        <v>0</v>
      </c>
      <c r="J75" s="64">
        <v>0</v>
      </c>
      <c r="L75" s="162">
        <f ca="1">OFFSET(Cost_Ingredients!$N$146,D75,0)*J75</f>
        <v>0</v>
      </c>
      <c r="M75" s="162">
        <f ca="1">OFFSET(Cost_Ingredients!$O$146,D75,0)*J75</f>
        <v>0</v>
      </c>
      <c r="N75" s="163">
        <f ca="1">L75/Cost_Ingredients!$J$21</f>
        <v>0</v>
      </c>
      <c r="O75" s="163">
        <f ca="1">M75/Cost_Ingredients!$J$21</f>
        <v>0</v>
      </c>
      <c r="P75" s="151"/>
    </row>
    <row r="76" spans="3:16" s="23" customFormat="1" outlineLevel="1">
      <c r="D76" s="746">
        <v>1</v>
      </c>
      <c r="E76" s="747"/>
      <c r="F76" s="747"/>
      <c r="G76" s="748"/>
      <c r="H76" s="151"/>
      <c r="I76" s="159">
        <f ca="1">OFFSET(Cost_Ingredients!$M$146,D76,0)</f>
        <v>0</v>
      </c>
      <c r="J76" s="64">
        <v>0</v>
      </c>
      <c r="L76" s="162">
        <f ca="1">OFFSET(Cost_Ingredients!$N$146,D76,0)*J76</f>
        <v>0</v>
      </c>
      <c r="M76" s="162">
        <f ca="1">OFFSET(Cost_Ingredients!$O$146,D76,0)*J76</f>
        <v>0</v>
      </c>
      <c r="N76" s="163">
        <f ca="1">L76/Cost_Ingredients!$J$21</f>
        <v>0</v>
      </c>
      <c r="O76" s="163">
        <f ca="1">M76/Cost_Ingredients!$J$21</f>
        <v>0</v>
      </c>
      <c r="P76" s="151"/>
    </row>
    <row r="77" spans="3:16" s="23" customFormat="1" outlineLevel="1">
      <c r="D77" s="746">
        <v>1</v>
      </c>
      <c r="E77" s="747"/>
      <c r="F77" s="747"/>
      <c r="G77" s="748"/>
      <c r="H77" s="151"/>
      <c r="I77" s="159">
        <f ca="1">OFFSET(Cost_Ingredients!$M$146,D77,0)</f>
        <v>0</v>
      </c>
      <c r="J77" s="64">
        <v>0</v>
      </c>
      <c r="L77" s="162">
        <f ca="1">OFFSET(Cost_Ingredients!$N$146,D77,0)*J77</f>
        <v>0</v>
      </c>
      <c r="M77" s="162">
        <f ca="1">OFFSET(Cost_Ingredients!$O$146,D77,0)*J77</f>
        <v>0</v>
      </c>
      <c r="N77" s="163">
        <f ca="1">L77/Cost_Ingredients!$J$21</f>
        <v>0</v>
      </c>
      <c r="O77" s="163">
        <f ca="1">M77/Cost_Ingredients!$J$21</f>
        <v>0</v>
      </c>
      <c r="P77" s="151"/>
    </row>
    <row r="78" spans="3:16" s="23" customFormat="1" outlineLevel="1">
      <c r="D78" s="746">
        <v>1</v>
      </c>
      <c r="E78" s="747"/>
      <c r="F78" s="747"/>
      <c r="G78" s="748"/>
      <c r="H78" s="151"/>
      <c r="I78" s="159">
        <f ca="1">OFFSET(Cost_Ingredients!$M$146,D78,0)</f>
        <v>0</v>
      </c>
      <c r="J78" s="64">
        <v>0</v>
      </c>
      <c r="L78" s="162">
        <f ca="1">OFFSET(Cost_Ingredients!$N$146,D78,0)*J78</f>
        <v>0</v>
      </c>
      <c r="M78" s="162">
        <f ca="1">OFFSET(Cost_Ingredients!$O$146,D78,0)*J78</f>
        <v>0</v>
      </c>
      <c r="N78" s="163">
        <f ca="1">L78/Cost_Ingredients!$J$21</f>
        <v>0</v>
      </c>
      <c r="O78" s="163">
        <f ca="1">M78/Cost_Ingredients!$J$21</f>
        <v>0</v>
      </c>
      <c r="P78" s="151"/>
    </row>
    <row r="79" spans="3:16" s="23" customFormat="1" outlineLevel="1">
      <c r="D79" s="746">
        <v>1</v>
      </c>
      <c r="E79" s="747"/>
      <c r="F79" s="747"/>
      <c r="G79" s="748"/>
      <c r="H79" s="151"/>
      <c r="I79" s="159">
        <f ca="1">OFFSET(Cost_Ingredients!$M$146,D79,0)</f>
        <v>0</v>
      </c>
      <c r="J79" s="64">
        <v>0</v>
      </c>
      <c r="L79" s="162">
        <f ca="1">OFFSET(Cost_Ingredients!$N$146,D79,0)*J79</f>
        <v>0</v>
      </c>
      <c r="M79" s="162">
        <f ca="1">OFFSET(Cost_Ingredients!$O$146,D79,0)*J79</f>
        <v>0</v>
      </c>
      <c r="N79" s="163">
        <f ca="1">L79/Cost_Ingredients!$J$21</f>
        <v>0</v>
      </c>
      <c r="O79" s="163">
        <f ca="1">M79/Cost_Ingredients!$J$21</f>
        <v>0</v>
      </c>
      <c r="P79" s="151"/>
    </row>
    <row r="80" spans="3:16" s="23" customFormat="1" outlineLevel="1">
      <c r="D80" s="746">
        <v>1</v>
      </c>
      <c r="E80" s="747"/>
      <c r="F80" s="747"/>
      <c r="G80" s="748"/>
      <c r="H80" s="151"/>
      <c r="I80" s="159">
        <f ca="1">OFFSET(Cost_Ingredients!$M$146,D80,0)</f>
        <v>0</v>
      </c>
      <c r="J80" s="64">
        <v>0</v>
      </c>
      <c r="L80" s="162">
        <f ca="1">OFFSET(Cost_Ingredients!$N$146,D80,0)*J80</f>
        <v>0</v>
      </c>
      <c r="M80" s="162">
        <f ca="1">OFFSET(Cost_Ingredients!$O$146,D80,0)*J80</f>
        <v>0</v>
      </c>
      <c r="N80" s="163">
        <f ca="1">L80/Cost_Ingredients!$J$21</f>
        <v>0</v>
      </c>
      <c r="O80" s="163">
        <f ca="1">M80/Cost_Ingredients!$J$21</f>
        <v>0</v>
      </c>
      <c r="P80" s="151"/>
    </row>
    <row r="81" spans="3:16" s="23" customFormat="1" outlineLevel="1">
      <c r="D81" s="746">
        <v>1</v>
      </c>
      <c r="E81" s="747"/>
      <c r="F81" s="747"/>
      <c r="G81" s="748"/>
      <c r="H81" s="151"/>
      <c r="I81" s="159">
        <f ca="1">OFFSET(Cost_Ingredients!$M$146,D81,0)</f>
        <v>0</v>
      </c>
      <c r="J81" s="64">
        <v>0</v>
      </c>
      <c r="L81" s="162">
        <f ca="1">OFFSET(Cost_Ingredients!$N$146,D81,0)*J81</f>
        <v>0</v>
      </c>
      <c r="M81" s="162">
        <f ca="1">OFFSET(Cost_Ingredients!$O$146,D81,0)*J81</f>
        <v>0</v>
      </c>
      <c r="N81" s="163">
        <f ca="1">L81/Cost_Ingredients!$J$21</f>
        <v>0</v>
      </c>
      <c r="O81" s="163">
        <f ca="1">M81/Cost_Ingredients!$J$21</f>
        <v>0</v>
      </c>
      <c r="P81" s="151"/>
    </row>
    <row r="82" spans="3:16" s="23" customFormat="1" outlineLevel="1">
      <c r="D82" s="746">
        <v>1</v>
      </c>
      <c r="E82" s="747"/>
      <c r="F82" s="747"/>
      <c r="G82" s="748"/>
      <c r="H82" s="151"/>
      <c r="I82" s="159">
        <f ca="1">OFFSET(Cost_Ingredients!$M$146,D82,0)</f>
        <v>0</v>
      </c>
      <c r="J82" s="64">
        <v>0</v>
      </c>
      <c r="L82" s="162">
        <f ca="1">OFFSET(Cost_Ingredients!$N$146,D82,0)*J82</f>
        <v>0</v>
      </c>
      <c r="M82" s="162">
        <f ca="1">OFFSET(Cost_Ingredients!$O$146,D82,0)*J82</f>
        <v>0</v>
      </c>
      <c r="N82" s="163">
        <f ca="1">L82/Cost_Ingredients!$J$21</f>
        <v>0</v>
      </c>
      <c r="O82" s="163">
        <f ca="1">M82/Cost_Ingredients!$J$21</f>
        <v>0</v>
      </c>
      <c r="P82" s="151"/>
    </row>
    <row r="83" spans="3:16" s="23" customFormat="1" outlineLevel="1">
      <c r="D83" s="746">
        <v>1</v>
      </c>
      <c r="E83" s="747"/>
      <c r="F83" s="747"/>
      <c r="G83" s="748"/>
      <c r="H83" s="151"/>
      <c r="I83" s="159">
        <f ca="1">OFFSET(Cost_Ingredients!$M$146,D83,0)</f>
        <v>0</v>
      </c>
      <c r="J83" s="64">
        <v>0</v>
      </c>
      <c r="L83" s="162">
        <f ca="1">OFFSET(Cost_Ingredients!$N$146,D83,0)*J83</f>
        <v>0</v>
      </c>
      <c r="M83" s="162">
        <f ca="1">OFFSET(Cost_Ingredients!$O$146,D83,0)*J83</f>
        <v>0</v>
      </c>
      <c r="N83" s="163">
        <f ca="1">L83/Cost_Ingredients!$J$21</f>
        <v>0</v>
      </c>
      <c r="O83" s="163">
        <f ca="1">M83/Cost_Ingredients!$J$21</f>
        <v>0</v>
      </c>
      <c r="P83" s="151"/>
    </row>
    <row r="84" spans="3:16" s="23" customFormat="1" outlineLevel="1">
      <c r="D84" s="746">
        <v>1</v>
      </c>
      <c r="E84" s="747"/>
      <c r="F84" s="747"/>
      <c r="G84" s="748"/>
      <c r="H84" s="151"/>
      <c r="I84" s="159">
        <f ca="1">OFFSET(Cost_Ingredients!$M$146,D84,0)</f>
        <v>0</v>
      </c>
      <c r="J84" s="64">
        <v>0</v>
      </c>
      <c r="L84" s="162">
        <f ca="1">OFFSET(Cost_Ingredients!$N$146,D84,0)*J84</f>
        <v>0</v>
      </c>
      <c r="M84" s="162">
        <f ca="1">OFFSET(Cost_Ingredients!$O$146,D84,0)*J84</f>
        <v>0</v>
      </c>
      <c r="N84" s="163">
        <f ca="1">L84/Cost_Ingredients!$J$21</f>
        <v>0</v>
      </c>
      <c r="O84" s="163">
        <f ca="1">M84/Cost_Ingredients!$J$21</f>
        <v>0</v>
      </c>
      <c r="P84" s="151"/>
    </row>
    <row r="85" spans="3:16" s="23" customFormat="1" outlineLevel="1">
      <c r="D85" s="746">
        <v>1</v>
      </c>
      <c r="E85" s="747"/>
      <c r="F85" s="747"/>
      <c r="G85" s="748"/>
      <c r="H85" s="151"/>
      <c r="I85" s="159">
        <f ca="1">OFFSET(Cost_Ingredients!$M$146,D85,0)</f>
        <v>0</v>
      </c>
      <c r="J85" s="64">
        <v>0</v>
      </c>
      <c r="L85" s="162">
        <f ca="1">OFFSET(Cost_Ingredients!$N$146,D85,0)*J85</f>
        <v>0</v>
      </c>
      <c r="M85" s="162">
        <f ca="1">OFFSET(Cost_Ingredients!$O$146,D85,0)*J85</f>
        <v>0</v>
      </c>
      <c r="N85" s="163">
        <f ca="1">L85/Cost_Ingredients!$J$21</f>
        <v>0</v>
      </c>
      <c r="O85" s="163">
        <f ca="1">M85/Cost_Ingredients!$J$21</f>
        <v>0</v>
      </c>
      <c r="P85" s="151"/>
    </row>
    <row r="86" spans="3:16" s="23" customFormat="1" outlineLevel="1">
      <c r="D86" s="746">
        <v>1</v>
      </c>
      <c r="E86" s="747"/>
      <c r="F86" s="747"/>
      <c r="G86" s="748"/>
      <c r="H86" s="151"/>
      <c r="I86" s="159">
        <f ca="1">OFFSET(Cost_Ingredients!$M$146,D86,0)</f>
        <v>0</v>
      </c>
      <c r="J86" s="64">
        <v>0</v>
      </c>
      <c r="L86" s="162">
        <f ca="1">OFFSET(Cost_Ingredients!$N$146,D86,0)*J86</f>
        <v>0</v>
      </c>
      <c r="M86" s="162">
        <f ca="1">OFFSET(Cost_Ingredients!$O$146,D86,0)*J86</f>
        <v>0</v>
      </c>
      <c r="N86" s="163">
        <f ca="1">L86/Cost_Ingredients!$J$21</f>
        <v>0</v>
      </c>
      <c r="O86" s="163">
        <f ca="1">M86/Cost_Ingredients!$J$21</f>
        <v>0</v>
      </c>
      <c r="P86" s="151"/>
    </row>
    <row r="87" spans="3:16" s="23" customFormat="1" outlineLevel="1">
      <c r="D87" s="746">
        <v>1</v>
      </c>
      <c r="E87" s="747"/>
      <c r="F87" s="747"/>
      <c r="G87" s="748"/>
      <c r="H87" s="172"/>
      <c r="I87" s="159">
        <f ca="1">OFFSET(Cost_Ingredients!$M$146,D87,0)</f>
        <v>0</v>
      </c>
      <c r="J87" s="173">
        <v>0</v>
      </c>
      <c r="L87" s="162">
        <f ca="1">OFFSET(Cost_Ingredients!$N$146,D87,0)*J87</f>
        <v>0</v>
      </c>
      <c r="M87" s="162">
        <f ca="1">OFFSET(Cost_Ingredients!$O$146,D87,0)*J87</f>
        <v>0</v>
      </c>
      <c r="N87" s="163">
        <f ca="1">L87/Cost_Ingredients!$J$21</f>
        <v>0</v>
      </c>
      <c r="O87" s="163">
        <f ca="1">M87/Cost_Ingredients!$J$21</f>
        <v>0</v>
      </c>
      <c r="P87" s="172"/>
    </row>
    <row r="88" spans="3:16" s="23" customFormat="1">
      <c r="D88" s="754" t="str">
        <f>"Subtotal - "&amp;C71</f>
        <v>Subtotal - Other Direct Costs (Recurrent)</v>
      </c>
      <c r="E88" s="755"/>
      <c r="F88" s="755"/>
      <c r="G88" s="755"/>
      <c r="H88" s="156"/>
      <c r="I88" s="156"/>
      <c r="J88" s="69"/>
      <c r="L88" s="255">
        <f ca="1">SUM(L73:L87)</f>
        <v>0</v>
      </c>
      <c r="M88" s="255">
        <f ca="1">SUM(M73:M87)</f>
        <v>0</v>
      </c>
      <c r="N88" s="258">
        <f ca="1">SUM(N73:N87)</f>
        <v>0</v>
      </c>
      <c r="O88" s="258">
        <f ca="1">SUM(O73:O87)</f>
        <v>0</v>
      </c>
      <c r="P88" s="156"/>
    </row>
    <row r="90" spans="3:16" ht="15" thickBot="1">
      <c r="C90" s="70" t="str">
        <f>C9&amp;" -Cost per Activity"</f>
        <v>Detailed Cost Estimate: SIA - Team of 2 Nurses - Full Working Day -Cost per Activity</v>
      </c>
      <c r="L90" s="44">
        <f ca="1">SUM(L31,L50,L69,L88)</f>
        <v>0</v>
      </c>
      <c r="M90" s="44">
        <f ca="1">SUM(M31,M50,M69,M88)</f>
        <v>5659.2454545454548</v>
      </c>
      <c r="N90" s="147">
        <f ca="1">SUM(N31,N50,N69,N88)</f>
        <v>0</v>
      </c>
      <c r="O90" s="147">
        <f ca="1">SUM(O31,O50,O69,O88)</f>
        <v>37.728303030303032</v>
      </c>
    </row>
    <row r="91" spans="3:16" ht="15" thickTop="1"/>
    <row r="93" spans="3:16" ht="15.6">
      <c r="C93" s="171" t="str">
        <f>"Detailed Cost Estimate: "&amp;FLU_LU!$D$356</f>
        <v>Detailed Cost Estimate: SIA - Team of 1 Doctor and 1 Nurse - Full Working Day</v>
      </c>
    </row>
    <row r="95" spans="3:16" s="61" customFormat="1">
      <c r="F95" s="152" t="s">
        <v>597</v>
      </c>
      <c r="H95" s="758">
        <f>SD_IMM!G25:I25</f>
        <v>0</v>
      </c>
      <c r="I95" s="775"/>
      <c r="J95" s="775"/>
      <c r="K95" s="775"/>
      <c r="L95" s="775"/>
      <c r="M95" s="775"/>
      <c r="N95" s="775"/>
      <c r="O95" s="775"/>
      <c r="P95" s="775"/>
    </row>
    <row r="96" spans="3:16" s="61" customFormat="1" ht="15.6">
      <c r="C96" s="111" t="s">
        <v>682</v>
      </c>
    </row>
    <row r="97" spans="3:16">
      <c r="C97" s="153" t="str">
        <f>FLU_LU!$D$278</f>
        <v xml:space="preserve">Personnel </v>
      </c>
    </row>
    <row r="98" spans="3:16" ht="43.2" outlineLevel="1">
      <c r="D98" s="733" t="s">
        <v>100</v>
      </c>
      <c r="E98" s="733"/>
      <c r="F98" s="733"/>
      <c r="G98" s="733"/>
      <c r="H98" s="142" t="s">
        <v>274</v>
      </c>
      <c r="I98" s="72" t="s">
        <v>474</v>
      </c>
      <c r="J98" s="152" t="s">
        <v>67</v>
      </c>
      <c r="K98" s="72" t="s">
        <v>475</v>
      </c>
      <c r="L98" s="28" t="str">
        <f>"Financial Price ("&amp;FLU_LU!$D$79&amp;")"</f>
        <v>Financial Price (GOZ)</v>
      </c>
      <c r="M98" s="28" t="str">
        <f>"Economic Price ("&amp;FLU_LU!$D$79&amp;")"</f>
        <v>Economic Price (GOZ)</v>
      </c>
      <c r="N98" s="28" t="str">
        <f>"Financial Price ("&amp;FLU_LU!$D$78&amp;")"</f>
        <v>Financial Price (USD)</v>
      </c>
      <c r="O98" s="28" t="str">
        <f>"Economic Price ("&amp;FLU_LU!$D$78&amp;")"</f>
        <v>Economic Price (USD)</v>
      </c>
      <c r="P98" s="152" t="s">
        <v>68</v>
      </c>
    </row>
    <row r="99" spans="3:16" s="23" customFormat="1" outlineLevel="1">
      <c r="D99" s="746">
        <v>11</v>
      </c>
      <c r="E99" s="746"/>
      <c r="F99" s="746"/>
      <c r="G99" s="749"/>
      <c r="H99" s="151" t="s">
        <v>679</v>
      </c>
      <c r="I99" s="31">
        <v>1</v>
      </c>
      <c r="J99" s="64">
        <v>1</v>
      </c>
      <c r="K99" s="135">
        <f t="shared" ref="K99:K113" si="1">IF(I99=1,J99/FLU_DAYS_PER_MONTH,IF(I99=2,J99/FLU_HOURS_PER_MONTH,J99/FLU_MINUTES_PER_MONTH))</f>
        <v>4.5454545454545456E-2</v>
      </c>
      <c r="L99" s="162">
        <f ca="1">OFFSET(Cost_Ingredients!$N$73,D99,0)*K99</f>
        <v>0</v>
      </c>
      <c r="M99" s="162">
        <f ca="1">OFFSET(Cost_Ingredients!$O$73,D99,0)*K99</f>
        <v>4031.4545454545455</v>
      </c>
      <c r="N99" s="179">
        <f ca="1">L99/Cost_Ingredients!$J$21</f>
        <v>0</v>
      </c>
      <c r="O99" s="179">
        <f ca="1">M99/Cost_Ingredients!$J$21</f>
        <v>26.876363636363635</v>
      </c>
      <c r="P99" s="151"/>
    </row>
    <row r="100" spans="3:16" s="23" customFormat="1" outlineLevel="1">
      <c r="D100" s="746">
        <v>20</v>
      </c>
      <c r="E100" s="746"/>
      <c r="F100" s="746"/>
      <c r="G100" s="749"/>
      <c r="H100" s="151" t="s">
        <v>684</v>
      </c>
      <c r="I100" s="31">
        <v>1</v>
      </c>
      <c r="J100" s="64">
        <v>1</v>
      </c>
      <c r="K100" s="135">
        <f t="shared" si="1"/>
        <v>4.5454545454545456E-2</v>
      </c>
      <c r="L100" s="162">
        <f ca="1">OFFSET(Cost_Ingredients!$N$73,D100,0)*K100</f>
        <v>0</v>
      </c>
      <c r="M100" s="162">
        <f ca="1">OFFSET(Cost_Ingredients!$O$73,D100,0)*K100</f>
        <v>2710.6227272727274</v>
      </c>
      <c r="N100" s="179">
        <f ca="1">L100/Cost_Ingredients!$J$21</f>
        <v>0</v>
      </c>
      <c r="O100" s="179">
        <f ca="1">M100/Cost_Ingredients!$J$21</f>
        <v>18.070818181818183</v>
      </c>
      <c r="P100" s="151"/>
    </row>
    <row r="101" spans="3:16" s="23" customFormat="1" outlineLevel="1">
      <c r="D101" s="746">
        <v>1</v>
      </c>
      <c r="E101" s="746"/>
      <c r="F101" s="746"/>
      <c r="G101" s="749"/>
      <c r="H101" s="151"/>
      <c r="I101" s="31">
        <v>1</v>
      </c>
      <c r="J101" s="64">
        <v>0</v>
      </c>
      <c r="K101" s="135">
        <f t="shared" si="1"/>
        <v>0</v>
      </c>
      <c r="L101" s="162">
        <f ca="1">OFFSET(Cost_Ingredients!$N$73,D101,0)*K101</f>
        <v>0</v>
      </c>
      <c r="M101" s="162">
        <f ca="1">OFFSET(Cost_Ingredients!$O$73,D101,0)*K101</f>
        <v>0</v>
      </c>
      <c r="N101" s="179">
        <f ca="1">L101/Cost_Ingredients!$J$21</f>
        <v>0</v>
      </c>
      <c r="O101" s="179">
        <f ca="1">M101/Cost_Ingredients!$J$21</f>
        <v>0</v>
      </c>
      <c r="P101" s="151"/>
    </row>
    <row r="102" spans="3:16" s="23" customFormat="1" outlineLevel="1">
      <c r="D102" s="746">
        <v>1</v>
      </c>
      <c r="E102" s="746"/>
      <c r="F102" s="746"/>
      <c r="G102" s="749"/>
      <c r="H102" s="151"/>
      <c r="I102" s="31">
        <v>1</v>
      </c>
      <c r="J102" s="64">
        <v>0</v>
      </c>
      <c r="K102" s="135">
        <f t="shared" si="1"/>
        <v>0</v>
      </c>
      <c r="L102" s="162">
        <f ca="1">OFFSET(Cost_Ingredients!$N$73,D102,0)*K102</f>
        <v>0</v>
      </c>
      <c r="M102" s="162">
        <f ca="1">OFFSET(Cost_Ingredients!$O$73,D102,0)*K102</f>
        <v>0</v>
      </c>
      <c r="N102" s="179">
        <f ca="1">L102/Cost_Ingredients!$J$21</f>
        <v>0</v>
      </c>
      <c r="O102" s="179">
        <f ca="1">M102/Cost_Ingredients!$J$21</f>
        <v>0</v>
      </c>
      <c r="P102" s="151"/>
    </row>
    <row r="103" spans="3:16" s="23" customFormat="1" outlineLevel="1">
      <c r="D103" s="746">
        <v>1</v>
      </c>
      <c r="E103" s="746"/>
      <c r="F103" s="746"/>
      <c r="G103" s="749"/>
      <c r="H103" s="151"/>
      <c r="I103" s="31">
        <v>1</v>
      </c>
      <c r="J103" s="64">
        <v>0</v>
      </c>
      <c r="K103" s="135">
        <f t="shared" si="1"/>
        <v>0</v>
      </c>
      <c r="L103" s="162">
        <f ca="1">OFFSET(Cost_Ingredients!$N$73,D103,0)*K103</f>
        <v>0</v>
      </c>
      <c r="M103" s="162">
        <f ca="1">OFFSET(Cost_Ingredients!$O$73,D103,0)*K103</f>
        <v>0</v>
      </c>
      <c r="N103" s="179">
        <f ca="1">L103/Cost_Ingredients!$J$21</f>
        <v>0</v>
      </c>
      <c r="O103" s="179">
        <f ca="1">M103/Cost_Ingredients!$J$21</f>
        <v>0</v>
      </c>
      <c r="P103" s="151"/>
    </row>
    <row r="104" spans="3:16" s="23" customFormat="1" outlineLevel="1">
      <c r="D104" s="746">
        <v>1</v>
      </c>
      <c r="E104" s="746"/>
      <c r="F104" s="746"/>
      <c r="G104" s="749"/>
      <c r="H104" s="151"/>
      <c r="I104" s="31">
        <v>1</v>
      </c>
      <c r="J104" s="64">
        <v>0</v>
      </c>
      <c r="K104" s="135">
        <f t="shared" si="1"/>
        <v>0</v>
      </c>
      <c r="L104" s="162">
        <f ca="1">OFFSET(Cost_Ingredients!$N$73,D104,0)*K104</f>
        <v>0</v>
      </c>
      <c r="M104" s="162">
        <f ca="1">OFFSET(Cost_Ingredients!$O$73,D104,0)*K104</f>
        <v>0</v>
      </c>
      <c r="N104" s="179">
        <f ca="1">L104/Cost_Ingredients!$J$21</f>
        <v>0</v>
      </c>
      <c r="O104" s="179">
        <f ca="1">M104/Cost_Ingredients!$J$21</f>
        <v>0</v>
      </c>
      <c r="P104" s="151"/>
    </row>
    <row r="105" spans="3:16" s="23" customFormat="1" outlineLevel="1">
      <c r="D105" s="746">
        <v>1</v>
      </c>
      <c r="E105" s="746"/>
      <c r="F105" s="746"/>
      <c r="G105" s="749"/>
      <c r="H105" s="151"/>
      <c r="I105" s="31">
        <v>1</v>
      </c>
      <c r="J105" s="64">
        <v>0</v>
      </c>
      <c r="K105" s="135">
        <f t="shared" si="1"/>
        <v>0</v>
      </c>
      <c r="L105" s="162">
        <f ca="1">OFFSET(Cost_Ingredients!$N$73,D105,0)*K105</f>
        <v>0</v>
      </c>
      <c r="M105" s="162">
        <f ca="1">OFFSET(Cost_Ingredients!$O$73,D105,0)*K105</f>
        <v>0</v>
      </c>
      <c r="N105" s="179">
        <f ca="1">L105/Cost_Ingredients!$J$21</f>
        <v>0</v>
      </c>
      <c r="O105" s="179">
        <f ca="1">M105/Cost_Ingredients!$J$21</f>
        <v>0</v>
      </c>
      <c r="P105" s="151"/>
    </row>
    <row r="106" spans="3:16" s="23" customFormat="1" outlineLevel="1">
      <c r="D106" s="746">
        <v>1</v>
      </c>
      <c r="E106" s="746"/>
      <c r="F106" s="746"/>
      <c r="G106" s="749"/>
      <c r="H106" s="151"/>
      <c r="I106" s="31">
        <v>1</v>
      </c>
      <c r="J106" s="64">
        <v>0</v>
      </c>
      <c r="K106" s="135">
        <f t="shared" si="1"/>
        <v>0</v>
      </c>
      <c r="L106" s="162">
        <f ca="1">OFFSET(Cost_Ingredients!$N$73,D106,0)*K106</f>
        <v>0</v>
      </c>
      <c r="M106" s="162">
        <f ca="1">OFFSET(Cost_Ingredients!$O$73,D106,0)*K106</f>
        <v>0</v>
      </c>
      <c r="N106" s="179">
        <f ca="1">L106/Cost_Ingredients!$J$21</f>
        <v>0</v>
      </c>
      <c r="O106" s="179">
        <f ca="1">M106/Cost_Ingredients!$J$21</f>
        <v>0</v>
      </c>
      <c r="P106" s="151"/>
    </row>
    <row r="107" spans="3:16" s="23" customFormat="1" outlineLevel="1">
      <c r="D107" s="746">
        <v>1</v>
      </c>
      <c r="E107" s="746"/>
      <c r="F107" s="746"/>
      <c r="G107" s="749"/>
      <c r="H107" s="151"/>
      <c r="I107" s="31">
        <v>1</v>
      </c>
      <c r="J107" s="64">
        <v>0</v>
      </c>
      <c r="K107" s="135">
        <f t="shared" si="1"/>
        <v>0</v>
      </c>
      <c r="L107" s="162">
        <f ca="1">OFFSET(Cost_Ingredients!$N$73,D107,0)*K107</f>
        <v>0</v>
      </c>
      <c r="M107" s="162">
        <f ca="1">OFFSET(Cost_Ingredients!$O$73,D107,0)*K107</f>
        <v>0</v>
      </c>
      <c r="N107" s="179">
        <f ca="1">L107/Cost_Ingredients!$J$21</f>
        <v>0</v>
      </c>
      <c r="O107" s="179">
        <f ca="1">M107/Cost_Ingredients!$J$21</f>
        <v>0</v>
      </c>
      <c r="P107" s="151"/>
    </row>
    <row r="108" spans="3:16" s="23" customFormat="1" outlineLevel="1">
      <c r="D108" s="746">
        <v>1</v>
      </c>
      <c r="E108" s="746"/>
      <c r="F108" s="746"/>
      <c r="G108" s="749"/>
      <c r="H108" s="151"/>
      <c r="I108" s="31">
        <v>1</v>
      </c>
      <c r="J108" s="64">
        <v>0</v>
      </c>
      <c r="K108" s="135">
        <f t="shared" si="1"/>
        <v>0</v>
      </c>
      <c r="L108" s="162">
        <f ca="1">OFFSET(Cost_Ingredients!$N$73,D108,0)*K108</f>
        <v>0</v>
      </c>
      <c r="M108" s="162">
        <f ca="1">OFFSET(Cost_Ingredients!$O$73,D108,0)*K108</f>
        <v>0</v>
      </c>
      <c r="N108" s="179">
        <f ca="1">L108/Cost_Ingredients!$J$21</f>
        <v>0</v>
      </c>
      <c r="O108" s="179">
        <f ca="1">M108/Cost_Ingredients!$J$21</f>
        <v>0</v>
      </c>
      <c r="P108" s="151"/>
    </row>
    <row r="109" spans="3:16" s="23" customFormat="1" outlineLevel="1">
      <c r="D109" s="746">
        <v>1</v>
      </c>
      <c r="E109" s="746"/>
      <c r="F109" s="746"/>
      <c r="G109" s="749"/>
      <c r="H109" s="151"/>
      <c r="I109" s="31">
        <v>1</v>
      </c>
      <c r="J109" s="64">
        <v>0</v>
      </c>
      <c r="K109" s="135">
        <f t="shared" si="1"/>
        <v>0</v>
      </c>
      <c r="L109" s="162">
        <f ca="1">OFFSET(Cost_Ingredients!$N$73,D109,0)*K109</f>
        <v>0</v>
      </c>
      <c r="M109" s="162">
        <f ca="1">OFFSET(Cost_Ingredients!$O$73,D109,0)*K109</f>
        <v>0</v>
      </c>
      <c r="N109" s="179">
        <f ca="1">L109/Cost_Ingredients!$J$21</f>
        <v>0</v>
      </c>
      <c r="O109" s="179">
        <f ca="1">M109/Cost_Ingredients!$J$21</f>
        <v>0</v>
      </c>
      <c r="P109" s="151"/>
    </row>
    <row r="110" spans="3:16" s="23" customFormat="1" outlineLevel="1">
      <c r="D110" s="746">
        <v>1</v>
      </c>
      <c r="E110" s="746"/>
      <c r="F110" s="746"/>
      <c r="G110" s="749"/>
      <c r="H110" s="151"/>
      <c r="I110" s="31">
        <v>1</v>
      </c>
      <c r="J110" s="64">
        <v>0</v>
      </c>
      <c r="K110" s="135">
        <f t="shared" si="1"/>
        <v>0</v>
      </c>
      <c r="L110" s="162">
        <f ca="1">OFFSET(Cost_Ingredients!$N$73,D110,0)*K110</f>
        <v>0</v>
      </c>
      <c r="M110" s="162">
        <f ca="1">OFFSET(Cost_Ingredients!$O$73,D110,0)*K110</f>
        <v>0</v>
      </c>
      <c r="N110" s="179">
        <f ca="1">L110/Cost_Ingredients!$J$21</f>
        <v>0</v>
      </c>
      <c r="O110" s="179">
        <f ca="1">M110/Cost_Ingredients!$J$21</f>
        <v>0</v>
      </c>
      <c r="P110" s="151"/>
    </row>
    <row r="111" spans="3:16" s="23" customFormat="1" outlineLevel="1">
      <c r="D111" s="746">
        <v>1</v>
      </c>
      <c r="E111" s="746"/>
      <c r="F111" s="746"/>
      <c r="G111" s="749"/>
      <c r="H111" s="151"/>
      <c r="I111" s="31">
        <v>1</v>
      </c>
      <c r="J111" s="64">
        <v>0</v>
      </c>
      <c r="K111" s="135">
        <f t="shared" si="1"/>
        <v>0</v>
      </c>
      <c r="L111" s="162">
        <f ca="1">OFFSET(Cost_Ingredients!$N$73,D111,0)*K111</f>
        <v>0</v>
      </c>
      <c r="M111" s="162">
        <f ca="1">OFFSET(Cost_Ingredients!$O$73,D111,0)*K111</f>
        <v>0</v>
      </c>
      <c r="N111" s="179">
        <f ca="1">L111/Cost_Ingredients!$J$21</f>
        <v>0</v>
      </c>
      <c r="O111" s="179">
        <f ca="1">M111/Cost_Ingredients!$J$21</f>
        <v>0</v>
      </c>
      <c r="P111" s="151"/>
    </row>
    <row r="112" spans="3:16" s="23" customFormat="1" outlineLevel="1">
      <c r="D112" s="746">
        <v>1</v>
      </c>
      <c r="E112" s="746"/>
      <c r="F112" s="746"/>
      <c r="G112" s="749"/>
      <c r="H112" s="151"/>
      <c r="I112" s="31">
        <v>1</v>
      </c>
      <c r="J112" s="64">
        <v>0</v>
      </c>
      <c r="K112" s="135">
        <f t="shared" si="1"/>
        <v>0</v>
      </c>
      <c r="L112" s="162">
        <f ca="1">OFFSET(Cost_Ingredients!$N$73,D112,0)*K112</f>
        <v>0</v>
      </c>
      <c r="M112" s="162">
        <f ca="1">OFFSET(Cost_Ingredients!$O$73,D112,0)*K112</f>
        <v>0</v>
      </c>
      <c r="N112" s="179">
        <f ca="1">L112/Cost_Ingredients!$J$21</f>
        <v>0</v>
      </c>
      <c r="O112" s="179">
        <f ca="1">M112/Cost_Ingredients!$J$21</f>
        <v>0</v>
      </c>
      <c r="P112" s="151"/>
    </row>
    <row r="113" spans="3:16" s="23" customFormat="1" outlineLevel="1">
      <c r="D113" s="746">
        <v>1</v>
      </c>
      <c r="E113" s="746"/>
      <c r="F113" s="746"/>
      <c r="G113" s="749"/>
      <c r="H113" s="172"/>
      <c r="I113" s="31">
        <v>1</v>
      </c>
      <c r="J113" s="173">
        <v>0</v>
      </c>
      <c r="K113" s="135">
        <f t="shared" si="1"/>
        <v>0</v>
      </c>
      <c r="L113" s="162">
        <f ca="1">OFFSET(Cost_Ingredients!$N$73,D113,0)*K113</f>
        <v>0</v>
      </c>
      <c r="M113" s="162">
        <f ca="1">OFFSET(Cost_Ingredients!$O$73,D113,0)*K113</f>
        <v>0</v>
      </c>
      <c r="N113" s="179">
        <f ca="1">L113/Cost_Ingredients!$J$21</f>
        <v>0</v>
      </c>
      <c r="O113" s="179">
        <f ca="1">M113/Cost_Ingredients!$J$21</f>
        <v>0</v>
      </c>
      <c r="P113" s="172"/>
    </row>
    <row r="114" spans="3:16" s="23" customFormat="1">
      <c r="D114" s="774" t="str">
        <f>"Subtotal - "&amp;C97</f>
        <v xml:space="preserve">Subtotal - Personnel </v>
      </c>
      <c r="E114" s="774"/>
      <c r="F114" s="774"/>
      <c r="G114" s="774"/>
      <c r="H114" s="156"/>
      <c r="I114" s="12"/>
      <c r="J114" s="69"/>
      <c r="K114" s="18"/>
      <c r="L114" s="255">
        <f ca="1">SUM(L99:L113)</f>
        <v>0</v>
      </c>
      <c r="M114" s="255">
        <f ca="1">SUM(M99:M113)</f>
        <v>6742.0772727272724</v>
      </c>
      <c r="N114" s="258">
        <f ca="1">SUM(N99:N113)</f>
        <v>0</v>
      </c>
      <c r="O114" s="258">
        <f ca="1">SUM(O99:O113)</f>
        <v>44.947181818181818</v>
      </c>
      <c r="P114" s="156"/>
    </row>
    <row r="116" spans="3:16">
      <c r="C116" s="153" t="str">
        <f>FLU_LU!$D$279</f>
        <v>Allowances</v>
      </c>
    </row>
    <row r="117" spans="3:16" ht="28.8" outlineLevel="1">
      <c r="D117" s="733" t="s">
        <v>100</v>
      </c>
      <c r="E117" s="733"/>
      <c r="F117" s="733"/>
      <c r="G117" s="733"/>
      <c r="H117" s="730" t="s">
        <v>274</v>
      </c>
      <c r="I117" s="730"/>
      <c r="J117" s="152" t="s">
        <v>67</v>
      </c>
      <c r="L117" s="28" t="str">
        <f>"Financial Price ("&amp;FLU_LU!$D$79&amp;")"</f>
        <v>Financial Price (GOZ)</v>
      </c>
      <c r="M117" s="28" t="str">
        <f>"Economic Price ("&amp;FLU_LU!$D$79&amp;")"</f>
        <v>Economic Price (GOZ)</v>
      </c>
      <c r="N117" s="28" t="str">
        <f>"Financial Price ("&amp;FLU_LU!$D$78&amp;")"</f>
        <v>Financial Price (USD)</v>
      </c>
      <c r="O117" s="28" t="str">
        <f>"Economic Price ("&amp;FLU_LU!$D$78&amp;")"</f>
        <v>Economic Price (USD)</v>
      </c>
      <c r="P117" s="152" t="s">
        <v>68</v>
      </c>
    </row>
    <row r="118" spans="3:16" s="23" customFormat="1" outlineLevel="1">
      <c r="D118" s="746">
        <v>1</v>
      </c>
      <c r="E118" s="747"/>
      <c r="F118" s="747"/>
      <c r="G118" s="748"/>
      <c r="H118" s="667"/>
      <c r="I118" s="667"/>
      <c r="J118" s="64">
        <v>0</v>
      </c>
      <c r="L118" s="162">
        <f ca="1">OFFSET(Cost_Ingredients!$N$103,D118,0)*J118</f>
        <v>0</v>
      </c>
      <c r="M118" s="162">
        <f ca="1">OFFSET(Cost_Ingredients!$O$103,D118,0)*J118</f>
        <v>0</v>
      </c>
      <c r="N118" s="163">
        <f ca="1">L118/Cost_Ingredients!$J$21</f>
        <v>0</v>
      </c>
      <c r="O118" s="163">
        <f ca="1">M118/Cost_Ingredients!$J$21</f>
        <v>0</v>
      </c>
      <c r="P118" s="151"/>
    </row>
    <row r="119" spans="3:16" s="23" customFormat="1" outlineLevel="1">
      <c r="D119" s="746">
        <v>1</v>
      </c>
      <c r="E119" s="747"/>
      <c r="F119" s="747"/>
      <c r="G119" s="748"/>
      <c r="H119" s="667"/>
      <c r="I119" s="667"/>
      <c r="J119" s="64">
        <v>0</v>
      </c>
      <c r="L119" s="162">
        <f ca="1">OFFSET(Cost_Ingredients!$N$103,D119,0)*J119</f>
        <v>0</v>
      </c>
      <c r="M119" s="162">
        <f ca="1">OFFSET(Cost_Ingredients!$O$103,D119,0)*J119</f>
        <v>0</v>
      </c>
      <c r="N119" s="163">
        <f ca="1">L119/Cost_Ingredients!$J$21</f>
        <v>0</v>
      </c>
      <c r="O119" s="163">
        <f ca="1">M119/Cost_Ingredients!$J$21</f>
        <v>0</v>
      </c>
      <c r="P119" s="151"/>
    </row>
    <row r="120" spans="3:16" s="23" customFormat="1" outlineLevel="1">
      <c r="D120" s="746">
        <v>1</v>
      </c>
      <c r="E120" s="747"/>
      <c r="F120" s="747"/>
      <c r="G120" s="748"/>
      <c r="H120" s="667"/>
      <c r="I120" s="667"/>
      <c r="J120" s="64">
        <v>0</v>
      </c>
      <c r="L120" s="162">
        <f ca="1">OFFSET(Cost_Ingredients!$N$103,D120,0)*J120</f>
        <v>0</v>
      </c>
      <c r="M120" s="162">
        <f ca="1">OFFSET(Cost_Ingredients!$O$103,D120,0)*J120</f>
        <v>0</v>
      </c>
      <c r="N120" s="163">
        <f ca="1">L120/Cost_Ingredients!$J$21</f>
        <v>0</v>
      </c>
      <c r="O120" s="163">
        <f ca="1">M120/Cost_Ingredients!$J$21</f>
        <v>0</v>
      </c>
      <c r="P120" s="151"/>
    </row>
    <row r="121" spans="3:16" s="23" customFormat="1" outlineLevel="1">
      <c r="D121" s="746">
        <v>1</v>
      </c>
      <c r="E121" s="747"/>
      <c r="F121" s="747"/>
      <c r="G121" s="748"/>
      <c r="H121" s="667"/>
      <c r="I121" s="667"/>
      <c r="J121" s="64">
        <v>0</v>
      </c>
      <c r="L121" s="162">
        <f ca="1">OFFSET(Cost_Ingredients!$N$103,D121,0)*J121</f>
        <v>0</v>
      </c>
      <c r="M121" s="162">
        <f ca="1">OFFSET(Cost_Ingredients!$O$103,D121,0)*J121</f>
        <v>0</v>
      </c>
      <c r="N121" s="163">
        <f ca="1">L121/Cost_Ingredients!$J$21</f>
        <v>0</v>
      </c>
      <c r="O121" s="163">
        <f ca="1">M121/Cost_Ingredients!$J$21</f>
        <v>0</v>
      </c>
      <c r="P121" s="151"/>
    </row>
    <row r="122" spans="3:16" s="23" customFormat="1" outlineLevel="1">
      <c r="D122" s="746">
        <v>1</v>
      </c>
      <c r="E122" s="747"/>
      <c r="F122" s="747"/>
      <c r="G122" s="748"/>
      <c r="H122" s="667"/>
      <c r="I122" s="667"/>
      <c r="J122" s="64">
        <v>0</v>
      </c>
      <c r="L122" s="162">
        <f ca="1">OFFSET(Cost_Ingredients!$N$103,D122,0)*J122</f>
        <v>0</v>
      </c>
      <c r="M122" s="162">
        <f ca="1">OFFSET(Cost_Ingredients!$O$103,D122,0)*J122</f>
        <v>0</v>
      </c>
      <c r="N122" s="163">
        <f ca="1">L122/Cost_Ingredients!$J$21</f>
        <v>0</v>
      </c>
      <c r="O122" s="163">
        <f ca="1">M122/Cost_Ingredients!$J$21</f>
        <v>0</v>
      </c>
      <c r="P122" s="151"/>
    </row>
    <row r="123" spans="3:16" s="23" customFormat="1" outlineLevel="1">
      <c r="D123" s="746">
        <v>1</v>
      </c>
      <c r="E123" s="747"/>
      <c r="F123" s="747"/>
      <c r="G123" s="748"/>
      <c r="H123" s="667"/>
      <c r="I123" s="667"/>
      <c r="J123" s="64">
        <v>0</v>
      </c>
      <c r="L123" s="162">
        <f ca="1">OFFSET(Cost_Ingredients!$N$103,D123,0)*J123</f>
        <v>0</v>
      </c>
      <c r="M123" s="162">
        <f ca="1">OFFSET(Cost_Ingredients!$O$103,D123,0)*J123</f>
        <v>0</v>
      </c>
      <c r="N123" s="163">
        <f ca="1">L123/Cost_Ingredients!$J$21</f>
        <v>0</v>
      </c>
      <c r="O123" s="163">
        <f ca="1">M123/Cost_Ingredients!$J$21</f>
        <v>0</v>
      </c>
      <c r="P123" s="151"/>
    </row>
    <row r="124" spans="3:16" s="23" customFormat="1" outlineLevel="1">
      <c r="D124" s="746">
        <v>1</v>
      </c>
      <c r="E124" s="747"/>
      <c r="F124" s="747"/>
      <c r="G124" s="748"/>
      <c r="H124" s="667"/>
      <c r="I124" s="667"/>
      <c r="J124" s="64">
        <v>0</v>
      </c>
      <c r="L124" s="162">
        <f ca="1">OFFSET(Cost_Ingredients!$N$103,D124,0)*J124</f>
        <v>0</v>
      </c>
      <c r="M124" s="162">
        <f ca="1">OFFSET(Cost_Ingredients!$O$103,D124,0)*J124</f>
        <v>0</v>
      </c>
      <c r="N124" s="163">
        <f ca="1">L124/Cost_Ingredients!$J$21</f>
        <v>0</v>
      </c>
      <c r="O124" s="163">
        <f ca="1">M124/Cost_Ingredients!$J$21</f>
        <v>0</v>
      </c>
      <c r="P124" s="151"/>
    </row>
    <row r="125" spans="3:16" s="23" customFormat="1" outlineLevel="1">
      <c r="D125" s="746">
        <v>1</v>
      </c>
      <c r="E125" s="747"/>
      <c r="F125" s="747"/>
      <c r="G125" s="748"/>
      <c r="H125" s="667"/>
      <c r="I125" s="667"/>
      <c r="J125" s="64">
        <v>0</v>
      </c>
      <c r="L125" s="162">
        <f ca="1">OFFSET(Cost_Ingredients!$N$103,D125,0)*J125</f>
        <v>0</v>
      </c>
      <c r="M125" s="162">
        <f ca="1">OFFSET(Cost_Ingredients!$O$103,D125,0)*J125</f>
        <v>0</v>
      </c>
      <c r="N125" s="163">
        <f ca="1">L125/Cost_Ingredients!$J$21</f>
        <v>0</v>
      </c>
      <c r="O125" s="163">
        <f ca="1">M125/Cost_Ingredients!$J$21</f>
        <v>0</v>
      </c>
      <c r="P125" s="151"/>
    </row>
    <row r="126" spans="3:16" s="23" customFormat="1" outlineLevel="1">
      <c r="D126" s="746">
        <v>1</v>
      </c>
      <c r="E126" s="747"/>
      <c r="F126" s="747"/>
      <c r="G126" s="748"/>
      <c r="H126" s="667"/>
      <c r="I126" s="667"/>
      <c r="J126" s="64">
        <v>0</v>
      </c>
      <c r="L126" s="162">
        <f ca="1">OFFSET(Cost_Ingredients!$N$103,D126,0)*J126</f>
        <v>0</v>
      </c>
      <c r="M126" s="162">
        <f ca="1">OFFSET(Cost_Ingredients!$O$103,D126,0)*J126</f>
        <v>0</v>
      </c>
      <c r="N126" s="163">
        <f ca="1">L126/Cost_Ingredients!$J$21</f>
        <v>0</v>
      </c>
      <c r="O126" s="163">
        <f ca="1">M126/Cost_Ingredients!$J$21</f>
        <v>0</v>
      </c>
      <c r="P126" s="151"/>
    </row>
    <row r="127" spans="3:16" s="23" customFormat="1" outlineLevel="1">
      <c r="D127" s="746">
        <v>1</v>
      </c>
      <c r="E127" s="747"/>
      <c r="F127" s="747"/>
      <c r="G127" s="748"/>
      <c r="H127" s="667"/>
      <c r="I127" s="667"/>
      <c r="J127" s="64">
        <v>0</v>
      </c>
      <c r="L127" s="162">
        <f ca="1">OFFSET(Cost_Ingredients!$N$103,D127,0)*J127</f>
        <v>0</v>
      </c>
      <c r="M127" s="162">
        <f ca="1">OFFSET(Cost_Ingredients!$O$103,D127,0)*J127</f>
        <v>0</v>
      </c>
      <c r="N127" s="163">
        <f ca="1">L127/Cost_Ingredients!$J$21</f>
        <v>0</v>
      </c>
      <c r="O127" s="163">
        <f ca="1">M127/Cost_Ingredients!$J$21</f>
        <v>0</v>
      </c>
      <c r="P127" s="151"/>
    </row>
    <row r="128" spans="3:16" s="23" customFormat="1" outlineLevel="1">
      <c r="D128" s="746">
        <v>1</v>
      </c>
      <c r="E128" s="747"/>
      <c r="F128" s="747"/>
      <c r="G128" s="748"/>
      <c r="H128" s="667"/>
      <c r="I128" s="667"/>
      <c r="J128" s="64">
        <v>0</v>
      </c>
      <c r="L128" s="162">
        <f ca="1">OFFSET(Cost_Ingredients!$N$103,D128,0)*J128</f>
        <v>0</v>
      </c>
      <c r="M128" s="162">
        <f ca="1">OFFSET(Cost_Ingredients!$O$103,D128,0)*J128</f>
        <v>0</v>
      </c>
      <c r="N128" s="163">
        <f ca="1">L128/Cost_Ingredients!$J$21</f>
        <v>0</v>
      </c>
      <c r="O128" s="163">
        <f ca="1">M128/Cost_Ingredients!$J$21</f>
        <v>0</v>
      </c>
      <c r="P128" s="151"/>
    </row>
    <row r="129" spans="3:16" s="23" customFormat="1" outlineLevel="1">
      <c r="D129" s="746">
        <v>1</v>
      </c>
      <c r="E129" s="747"/>
      <c r="F129" s="747"/>
      <c r="G129" s="748"/>
      <c r="H129" s="667"/>
      <c r="I129" s="667"/>
      <c r="J129" s="64">
        <v>0</v>
      </c>
      <c r="L129" s="162">
        <f ca="1">OFFSET(Cost_Ingredients!$N$103,D129,0)*J129</f>
        <v>0</v>
      </c>
      <c r="M129" s="162">
        <f ca="1">OFFSET(Cost_Ingredients!$O$103,D129,0)*J129</f>
        <v>0</v>
      </c>
      <c r="N129" s="163">
        <f ca="1">L129/Cost_Ingredients!$J$21</f>
        <v>0</v>
      </c>
      <c r="O129" s="163">
        <f ca="1">M129/Cost_Ingredients!$J$21</f>
        <v>0</v>
      </c>
      <c r="P129" s="151"/>
    </row>
    <row r="130" spans="3:16" s="23" customFormat="1" outlineLevel="1">
      <c r="D130" s="746">
        <v>1</v>
      </c>
      <c r="E130" s="747"/>
      <c r="F130" s="747"/>
      <c r="G130" s="748"/>
      <c r="H130" s="667"/>
      <c r="I130" s="667"/>
      <c r="J130" s="64">
        <v>0</v>
      </c>
      <c r="L130" s="162">
        <f ca="1">OFFSET(Cost_Ingredients!$N$103,D130,0)*J130</f>
        <v>0</v>
      </c>
      <c r="M130" s="162">
        <f ca="1">OFFSET(Cost_Ingredients!$O$103,D130,0)*J130</f>
        <v>0</v>
      </c>
      <c r="N130" s="163">
        <f ca="1">L130/Cost_Ingredients!$J$21</f>
        <v>0</v>
      </c>
      <c r="O130" s="163">
        <f ca="1">M130/Cost_Ingredients!$J$21</f>
        <v>0</v>
      </c>
      <c r="P130" s="151"/>
    </row>
    <row r="131" spans="3:16" s="23" customFormat="1" outlineLevel="1">
      <c r="D131" s="746">
        <v>1</v>
      </c>
      <c r="E131" s="747"/>
      <c r="F131" s="747"/>
      <c r="G131" s="748"/>
      <c r="H131" s="667"/>
      <c r="I131" s="667"/>
      <c r="J131" s="64">
        <v>0</v>
      </c>
      <c r="L131" s="162">
        <f ca="1">OFFSET(Cost_Ingredients!$N$103,D131,0)*J131</f>
        <v>0</v>
      </c>
      <c r="M131" s="162">
        <f ca="1">OFFSET(Cost_Ingredients!$O$103,D131,0)*J131</f>
        <v>0</v>
      </c>
      <c r="N131" s="163">
        <f ca="1">L131/Cost_Ingredients!$J$21</f>
        <v>0</v>
      </c>
      <c r="O131" s="163">
        <f ca="1">M131/Cost_Ingredients!$J$21</f>
        <v>0</v>
      </c>
      <c r="P131" s="151"/>
    </row>
    <row r="132" spans="3:16" s="23" customFormat="1" outlineLevel="1">
      <c r="D132" s="746">
        <v>1</v>
      </c>
      <c r="E132" s="747"/>
      <c r="F132" s="747"/>
      <c r="G132" s="748"/>
      <c r="H132" s="745"/>
      <c r="I132" s="745"/>
      <c r="J132" s="173">
        <v>0</v>
      </c>
      <c r="L132" s="162">
        <f ca="1">OFFSET(Cost_Ingredients!$N$103,D132,0)*J132</f>
        <v>0</v>
      </c>
      <c r="M132" s="162">
        <f ca="1">OFFSET(Cost_Ingredients!$O$103,D132,0)*J132</f>
        <v>0</v>
      </c>
      <c r="N132" s="163">
        <f ca="1">L132/Cost_Ingredients!$J$21</f>
        <v>0</v>
      </c>
      <c r="O132" s="163">
        <f ca="1">M132/Cost_Ingredients!$J$21</f>
        <v>0</v>
      </c>
      <c r="P132" s="172"/>
    </row>
    <row r="133" spans="3:16" s="23" customFormat="1">
      <c r="D133" s="754" t="str">
        <f>"Subtotal - "&amp;C116</f>
        <v>Subtotal - Allowances</v>
      </c>
      <c r="E133" s="755"/>
      <c r="F133" s="755"/>
      <c r="G133" s="755"/>
      <c r="H133" s="156"/>
      <c r="I133" s="156"/>
      <c r="J133" s="69"/>
      <c r="L133" s="255">
        <f ca="1">SUM(L118:L132)</f>
        <v>0</v>
      </c>
      <c r="M133" s="255">
        <f ca="1">SUM(M118:M132)</f>
        <v>0</v>
      </c>
      <c r="N133" s="258">
        <f ca="1">SUM(N118:N132)</f>
        <v>0</v>
      </c>
      <c r="O133" s="258">
        <f ca="1">SUM(O118:O132)</f>
        <v>0</v>
      </c>
      <c r="P133" s="156"/>
    </row>
    <row r="135" spans="3:16">
      <c r="C135" s="153" t="str">
        <f>FLU_LU!$D$280</f>
        <v>Supplies &amp; Materials</v>
      </c>
    </row>
    <row r="136" spans="3:16" ht="28.8" outlineLevel="1">
      <c r="D136" s="733" t="s">
        <v>100</v>
      </c>
      <c r="E136" s="733"/>
      <c r="F136" s="733"/>
      <c r="G136" s="733"/>
      <c r="H136" s="142" t="s">
        <v>274</v>
      </c>
      <c r="I136" s="72" t="s">
        <v>275</v>
      </c>
      <c r="J136" s="152" t="s">
        <v>67</v>
      </c>
      <c r="L136" s="28" t="str">
        <f>"Financial Price ("&amp;FLU_LU!$D$79&amp;")"</f>
        <v>Financial Price (GOZ)</v>
      </c>
      <c r="M136" s="28" t="str">
        <f>"Economic Price ("&amp;FLU_LU!$D$79&amp;")"</f>
        <v>Economic Price (GOZ)</v>
      </c>
      <c r="N136" s="28" t="str">
        <f>"Financial Price ("&amp;FLU_LU!$D$78&amp;")"</f>
        <v>Financial Price (USD)</v>
      </c>
      <c r="O136" s="28" t="str">
        <f>"Economic Price ("&amp;FLU_LU!$D$78&amp;")"</f>
        <v>Economic Price (USD)</v>
      </c>
      <c r="P136" s="152" t="s">
        <v>68</v>
      </c>
    </row>
    <row r="137" spans="3:16" s="23" customFormat="1" outlineLevel="1">
      <c r="D137" s="746">
        <v>8</v>
      </c>
      <c r="E137" s="747"/>
      <c r="F137" s="747"/>
      <c r="G137" s="748"/>
      <c r="H137" s="151" t="s">
        <v>680</v>
      </c>
      <c r="I137" s="159" t="str">
        <f ca="1">OFFSET(Cost_Ingredients!$M$117,D137,0)</f>
        <v>1 entry</v>
      </c>
      <c r="J137" s="64">
        <v>1</v>
      </c>
      <c r="L137" s="162">
        <f ca="1">OFFSET(Cost_Ingredients!$N$117,D137,0)*J137</f>
        <v>0</v>
      </c>
      <c r="M137" s="162">
        <f ca="1">OFFSET(Cost_Ingredients!$O$117,D137,0)*J137</f>
        <v>12</v>
      </c>
      <c r="N137" s="163">
        <f ca="1">L137/Cost_Ingredients!$J$21</f>
        <v>0</v>
      </c>
      <c r="O137" s="163">
        <f ca="1">M137/Cost_Ingredients!$J$21</f>
        <v>0.08</v>
      </c>
      <c r="P137" s="151" t="s">
        <v>495</v>
      </c>
    </row>
    <row r="138" spans="3:16" s="23" customFormat="1" outlineLevel="1">
      <c r="D138" s="746">
        <v>7</v>
      </c>
      <c r="E138" s="747"/>
      <c r="F138" s="747"/>
      <c r="G138" s="748"/>
      <c r="H138" s="151" t="s">
        <v>681</v>
      </c>
      <c r="I138" s="159" t="str">
        <f ca="1">OFFSET(Cost_Ingredients!$M$117,D138,0)</f>
        <v>1 sheet</v>
      </c>
      <c r="J138" s="64">
        <v>1</v>
      </c>
      <c r="L138" s="162">
        <f ca="1">OFFSET(Cost_Ingredients!$N$117,D138,0)*J138</f>
        <v>0</v>
      </c>
      <c r="M138" s="162">
        <f ca="1">OFFSET(Cost_Ingredients!$O$117,D138,0)*J138</f>
        <v>10</v>
      </c>
      <c r="N138" s="163">
        <f ca="1">L138/Cost_Ingredients!$J$21</f>
        <v>0</v>
      </c>
      <c r="O138" s="163">
        <f ca="1">M138/Cost_Ingredients!$J$21</f>
        <v>6.6666666666666666E-2</v>
      </c>
      <c r="P138" s="151"/>
    </row>
    <row r="139" spans="3:16" s="23" customFormat="1" outlineLevel="1">
      <c r="D139" s="746">
        <v>1</v>
      </c>
      <c r="E139" s="747"/>
      <c r="F139" s="747"/>
      <c r="G139" s="748"/>
      <c r="H139" s="151"/>
      <c r="I139" s="159">
        <f ca="1">OFFSET(Cost_Ingredients!$M$117,D139,0)</f>
        <v>0</v>
      </c>
      <c r="J139" s="64">
        <v>0</v>
      </c>
      <c r="L139" s="162">
        <f ca="1">OFFSET(Cost_Ingredients!$N$117,D139,0)*J139</f>
        <v>0</v>
      </c>
      <c r="M139" s="162">
        <f ca="1">OFFSET(Cost_Ingredients!$O$117,D139,0)*J139</f>
        <v>0</v>
      </c>
      <c r="N139" s="163">
        <f ca="1">L139/Cost_Ingredients!$J$21</f>
        <v>0</v>
      </c>
      <c r="O139" s="163">
        <f ca="1">M139/Cost_Ingredients!$J$21</f>
        <v>0</v>
      </c>
      <c r="P139" s="151"/>
    </row>
    <row r="140" spans="3:16" s="23" customFormat="1" outlineLevel="1">
      <c r="D140" s="746">
        <v>1</v>
      </c>
      <c r="E140" s="747"/>
      <c r="F140" s="747"/>
      <c r="G140" s="748"/>
      <c r="H140" s="151"/>
      <c r="I140" s="159">
        <f ca="1">OFFSET(Cost_Ingredients!$M$117,D140,0)</f>
        <v>0</v>
      </c>
      <c r="J140" s="64">
        <v>0</v>
      </c>
      <c r="L140" s="162">
        <f ca="1">OFFSET(Cost_Ingredients!$N$117,D140,0)*J140</f>
        <v>0</v>
      </c>
      <c r="M140" s="162">
        <f ca="1">OFFSET(Cost_Ingredients!$O$117,D140,0)*J140</f>
        <v>0</v>
      </c>
      <c r="N140" s="163">
        <f ca="1">L140/Cost_Ingredients!$J$21</f>
        <v>0</v>
      </c>
      <c r="O140" s="163">
        <f ca="1">M140/Cost_Ingredients!$J$21</f>
        <v>0</v>
      </c>
      <c r="P140" s="151"/>
    </row>
    <row r="141" spans="3:16" s="23" customFormat="1" outlineLevel="1">
      <c r="D141" s="746">
        <v>1</v>
      </c>
      <c r="E141" s="747"/>
      <c r="F141" s="747"/>
      <c r="G141" s="748"/>
      <c r="H141" s="151"/>
      <c r="I141" s="159">
        <f ca="1">OFFSET(Cost_Ingredients!$M$117,D141,0)</f>
        <v>0</v>
      </c>
      <c r="J141" s="64">
        <v>0</v>
      </c>
      <c r="L141" s="162">
        <f ca="1">OFFSET(Cost_Ingredients!$N$117,D141,0)*J141</f>
        <v>0</v>
      </c>
      <c r="M141" s="162">
        <f ca="1">OFFSET(Cost_Ingredients!$O$117,D141,0)*J141</f>
        <v>0</v>
      </c>
      <c r="N141" s="163">
        <f ca="1">L141/Cost_Ingredients!$J$21</f>
        <v>0</v>
      </c>
      <c r="O141" s="163">
        <f ca="1">M141/Cost_Ingredients!$J$21</f>
        <v>0</v>
      </c>
      <c r="P141" s="151"/>
    </row>
    <row r="142" spans="3:16" s="23" customFormat="1" outlineLevel="1">
      <c r="D142" s="746">
        <v>1</v>
      </c>
      <c r="E142" s="747"/>
      <c r="F142" s="747"/>
      <c r="G142" s="748"/>
      <c r="H142" s="151"/>
      <c r="I142" s="159">
        <f ca="1">OFFSET(Cost_Ingredients!$M$117,D142,0)</f>
        <v>0</v>
      </c>
      <c r="J142" s="64">
        <v>0</v>
      </c>
      <c r="L142" s="162">
        <f ca="1">OFFSET(Cost_Ingredients!$N$117,D142,0)*J142</f>
        <v>0</v>
      </c>
      <c r="M142" s="162">
        <f ca="1">OFFSET(Cost_Ingredients!$O$117,D142,0)*J142</f>
        <v>0</v>
      </c>
      <c r="N142" s="163">
        <f ca="1">L142/Cost_Ingredients!$J$21</f>
        <v>0</v>
      </c>
      <c r="O142" s="163">
        <f ca="1">M142/Cost_Ingredients!$J$21</f>
        <v>0</v>
      </c>
      <c r="P142" s="151"/>
    </row>
    <row r="143" spans="3:16" s="23" customFormat="1" outlineLevel="1">
      <c r="D143" s="746">
        <v>1</v>
      </c>
      <c r="E143" s="747"/>
      <c r="F143" s="747"/>
      <c r="G143" s="748"/>
      <c r="H143" s="151"/>
      <c r="I143" s="159">
        <f ca="1">OFFSET(Cost_Ingredients!$M$117,D143,0)</f>
        <v>0</v>
      </c>
      <c r="J143" s="64">
        <v>0</v>
      </c>
      <c r="L143" s="162">
        <f ca="1">OFFSET(Cost_Ingredients!$N$117,D143,0)*J143</f>
        <v>0</v>
      </c>
      <c r="M143" s="162">
        <f ca="1">OFFSET(Cost_Ingredients!$O$117,D143,0)*J143</f>
        <v>0</v>
      </c>
      <c r="N143" s="163">
        <f ca="1">L143/Cost_Ingredients!$J$21</f>
        <v>0</v>
      </c>
      <c r="O143" s="163">
        <f ca="1">M143/Cost_Ingredients!$J$21</f>
        <v>0</v>
      </c>
      <c r="P143" s="151"/>
    </row>
    <row r="144" spans="3:16" s="23" customFormat="1" outlineLevel="1">
      <c r="D144" s="746">
        <v>1</v>
      </c>
      <c r="E144" s="747"/>
      <c r="F144" s="747"/>
      <c r="G144" s="748"/>
      <c r="H144" s="151"/>
      <c r="I144" s="159">
        <f ca="1">OFFSET(Cost_Ingredients!$M$117,D144,0)</f>
        <v>0</v>
      </c>
      <c r="J144" s="64">
        <v>0</v>
      </c>
      <c r="L144" s="162">
        <f ca="1">OFFSET(Cost_Ingredients!$N$117,D144,0)*J144</f>
        <v>0</v>
      </c>
      <c r="M144" s="162">
        <f ca="1">OFFSET(Cost_Ingredients!$O$117,D144,0)*J144</f>
        <v>0</v>
      </c>
      <c r="N144" s="163">
        <f ca="1">L144/Cost_Ingredients!$J$21</f>
        <v>0</v>
      </c>
      <c r="O144" s="163">
        <f ca="1">M144/Cost_Ingredients!$J$21</f>
        <v>0</v>
      </c>
      <c r="P144" s="151"/>
    </row>
    <row r="145" spans="3:16" s="23" customFormat="1" outlineLevel="1">
      <c r="D145" s="746">
        <v>1</v>
      </c>
      <c r="E145" s="747"/>
      <c r="F145" s="747"/>
      <c r="G145" s="748"/>
      <c r="H145" s="151"/>
      <c r="I145" s="159">
        <f ca="1">OFFSET(Cost_Ingredients!$M$117,D145,0)</f>
        <v>0</v>
      </c>
      <c r="J145" s="64">
        <v>0</v>
      </c>
      <c r="L145" s="162">
        <f ca="1">OFFSET(Cost_Ingredients!$N$117,D145,0)*J145</f>
        <v>0</v>
      </c>
      <c r="M145" s="162">
        <f ca="1">OFFSET(Cost_Ingredients!$O$117,D145,0)*J145</f>
        <v>0</v>
      </c>
      <c r="N145" s="163">
        <f ca="1">L145/Cost_Ingredients!$J$21</f>
        <v>0</v>
      </c>
      <c r="O145" s="163">
        <f ca="1">M145/Cost_Ingredients!$J$21</f>
        <v>0</v>
      </c>
      <c r="P145" s="151"/>
    </row>
    <row r="146" spans="3:16" s="23" customFormat="1" outlineLevel="1">
      <c r="D146" s="746">
        <v>1</v>
      </c>
      <c r="E146" s="747"/>
      <c r="F146" s="747"/>
      <c r="G146" s="748"/>
      <c r="H146" s="151"/>
      <c r="I146" s="159">
        <f ca="1">OFFSET(Cost_Ingredients!$M$117,D146,0)</f>
        <v>0</v>
      </c>
      <c r="J146" s="64">
        <v>0</v>
      </c>
      <c r="L146" s="162">
        <f ca="1">OFFSET(Cost_Ingredients!$N$117,D146,0)*J146</f>
        <v>0</v>
      </c>
      <c r="M146" s="162">
        <f ca="1">OFFSET(Cost_Ingredients!$O$117,D146,0)*J146</f>
        <v>0</v>
      </c>
      <c r="N146" s="163">
        <f ca="1">L146/Cost_Ingredients!$J$21</f>
        <v>0</v>
      </c>
      <c r="O146" s="163">
        <f ca="1">M146/Cost_Ingredients!$J$21</f>
        <v>0</v>
      </c>
      <c r="P146" s="151"/>
    </row>
    <row r="147" spans="3:16" s="23" customFormat="1" outlineLevel="1">
      <c r="D147" s="746">
        <v>1</v>
      </c>
      <c r="E147" s="747"/>
      <c r="F147" s="747"/>
      <c r="G147" s="748"/>
      <c r="H147" s="151"/>
      <c r="I147" s="159">
        <f ca="1">OFFSET(Cost_Ingredients!$M$117,D147,0)</f>
        <v>0</v>
      </c>
      <c r="J147" s="64">
        <v>0</v>
      </c>
      <c r="L147" s="162">
        <f ca="1">OFFSET(Cost_Ingredients!$N$117,D147,0)*J147</f>
        <v>0</v>
      </c>
      <c r="M147" s="162">
        <f ca="1">OFFSET(Cost_Ingredients!$O$117,D147,0)*J147</f>
        <v>0</v>
      </c>
      <c r="N147" s="163">
        <f ca="1">L147/Cost_Ingredients!$J$21</f>
        <v>0</v>
      </c>
      <c r="O147" s="163">
        <f ca="1">M147/Cost_Ingredients!$J$21</f>
        <v>0</v>
      </c>
      <c r="P147" s="151"/>
    </row>
    <row r="148" spans="3:16" s="23" customFormat="1" outlineLevel="1">
      <c r="D148" s="746">
        <v>1</v>
      </c>
      <c r="E148" s="747"/>
      <c r="F148" s="747"/>
      <c r="G148" s="748"/>
      <c r="H148" s="151"/>
      <c r="I148" s="159">
        <f ca="1">OFFSET(Cost_Ingredients!$M$117,D148,0)</f>
        <v>0</v>
      </c>
      <c r="J148" s="64">
        <v>0</v>
      </c>
      <c r="L148" s="162">
        <f ca="1">OFFSET(Cost_Ingredients!$N$117,D148,0)*J148</f>
        <v>0</v>
      </c>
      <c r="M148" s="162">
        <f ca="1">OFFSET(Cost_Ingredients!$O$117,D148,0)*J148</f>
        <v>0</v>
      </c>
      <c r="N148" s="163">
        <f ca="1">L148/Cost_Ingredients!$J$21</f>
        <v>0</v>
      </c>
      <c r="O148" s="163">
        <f ca="1">M148/Cost_Ingredients!$J$21</f>
        <v>0</v>
      </c>
      <c r="P148" s="151"/>
    </row>
    <row r="149" spans="3:16" s="23" customFormat="1" outlineLevel="1">
      <c r="D149" s="746">
        <v>1</v>
      </c>
      <c r="E149" s="747"/>
      <c r="F149" s="747"/>
      <c r="G149" s="748"/>
      <c r="H149" s="151"/>
      <c r="I149" s="159">
        <f ca="1">OFFSET(Cost_Ingredients!$M$117,D149,0)</f>
        <v>0</v>
      </c>
      <c r="J149" s="64">
        <v>0</v>
      </c>
      <c r="L149" s="162">
        <f ca="1">OFFSET(Cost_Ingredients!$N$117,D149,0)*J149</f>
        <v>0</v>
      </c>
      <c r="M149" s="162">
        <f ca="1">OFFSET(Cost_Ingredients!$O$117,D149,0)*J149</f>
        <v>0</v>
      </c>
      <c r="N149" s="163">
        <f ca="1">L149/Cost_Ingredients!$J$21</f>
        <v>0</v>
      </c>
      <c r="O149" s="163">
        <f ca="1">M149/Cost_Ingredients!$J$21</f>
        <v>0</v>
      </c>
      <c r="P149" s="151"/>
    </row>
    <row r="150" spans="3:16" s="23" customFormat="1" outlineLevel="1">
      <c r="D150" s="746">
        <v>1</v>
      </c>
      <c r="E150" s="747"/>
      <c r="F150" s="747"/>
      <c r="G150" s="748"/>
      <c r="H150" s="151"/>
      <c r="I150" s="159">
        <f ca="1">OFFSET(Cost_Ingredients!$M$117,D150,0)</f>
        <v>0</v>
      </c>
      <c r="J150" s="64">
        <v>0</v>
      </c>
      <c r="L150" s="162">
        <f ca="1">OFFSET(Cost_Ingredients!$N$117,D150,0)*J150</f>
        <v>0</v>
      </c>
      <c r="M150" s="162">
        <f ca="1">OFFSET(Cost_Ingredients!$O$117,D150,0)*J150</f>
        <v>0</v>
      </c>
      <c r="N150" s="163">
        <f ca="1">L150/Cost_Ingredients!$J$21</f>
        <v>0</v>
      </c>
      <c r="O150" s="163">
        <f ca="1">M150/Cost_Ingredients!$J$21</f>
        <v>0</v>
      </c>
      <c r="P150" s="151"/>
    </row>
    <row r="151" spans="3:16" s="23" customFormat="1" outlineLevel="1">
      <c r="D151" s="746">
        <v>1</v>
      </c>
      <c r="E151" s="747"/>
      <c r="F151" s="747"/>
      <c r="G151" s="748"/>
      <c r="H151" s="172"/>
      <c r="I151" s="159">
        <f ca="1">OFFSET(Cost_Ingredients!$M$117,D151,0)</f>
        <v>0</v>
      </c>
      <c r="J151" s="173">
        <v>0</v>
      </c>
      <c r="L151" s="162">
        <f ca="1">OFFSET(Cost_Ingredients!$N$117,D151,0)*J151</f>
        <v>0</v>
      </c>
      <c r="M151" s="162">
        <f ca="1">OFFSET(Cost_Ingredients!$O$117,D151,0)*J151</f>
        <v>0</v>
      </c>
      <c r="N151" s="163">
        <f ca="1">L151/Cost_Ingredients!$J$21</f>
        <v>0</v>
      </c>
      <c r="O151" s="163">
        <f ca="1">M151/Cost_Ingredients!$J$21</f>
        <v>0</v>
      </c>
      <c r="P151" s="172"/>
    </row>
    <row r="152" spans="3:16" s="23" customFormat="1">
      <c r="D152" s="754" t="str">
        <f>"Subtotal - "&amp;C135</f>
        <v>Subtotal - Supplies &amp; Materials</v>
      </c>
      <c r="E152" s="755"/>
      <c r="F152" s="755"/>
      <c r="G152" s="755"/>
      <c r="H152" s="156"/>
      <c r="I152" s="156"/>
      <c r="J152" s="69"/>
      <c r="L152" s="255">
        <f ca="1">SUM(L137:L151)</f>
        <v>0</v>
      </c>
      <c r="M152" s="255">
        <f ca="1">SUM(M137:M151)</f>
        <v>22</v>
      </c>
      <c r="N152" s="258">
        <f ca="1">SUM(N137:N151)</f>
        <v>0</v>
      </c>
      <c r="O152" s="258">
        <f ca="1">SUM(O137:O151)</f>
        <v>0.14666666666666667</v>
      </c>
      <c r="P152" s="156"/>
    </row>
    <row r="154" spans="3:16">
      <c r="C154" s="153" t="str">
        <f>FLU_LU!$D$281</f>
        <v>Other Direct Costs (Recurrent)</v>
      </c>
    </row>
    <row r="155" spans="3:16" ht="28.8" outlineLevel="1">
      <c r="D155" s="733" t="s">
        <v>100</v>
      </c>
      <c r="E155" s="733"/>
      <c r="F155" s="733"/>
      <c r="G155" s="733"/>
      <c r="H155" s="142" t="s">
        <v>274</v>
      </c>
      <c r="I155" s="72" t="s">
        <v>275</v>
      </c>
      <c r="J155" s="152" t="s">
        <v>67</v>
      </c>
      <c r="L155" s="28" t="str">
        <f>"Financial Price ("&amp;FLU_LU!$D$79&amp;")"</f>
        <v>Financial Price (GOZ)</v>
      </c>
      <c r="M155" s="28" t="str">
        <f>"Economic Price ("&amp;FLU_LU!$D$79&amp;")"</f>
        <v>Economic Price (GOZ)</v>
      </c>
      <c r="N155" s="28" t="str">
        <f>"Financial Price ("&amp;FLU_LU!$D$78&amp;")"</f>
        <v>Financial Price (USD)</v>
      </c>
      <c r="O155" s="28" t="str">
        <f>"Economic Price ("&amp;FLU_LU!$D$78&amp;")"</f>
        <v>Economic Price (USD)</v>
      </c>
      <c r="P155" s="152" t="s">
        <v>68</v>
      </c>
    </row>
    <row r="156" spans="3:16" s="23" customFormat="1" outlineLevel="1">
      <c r="D156" s="746">
        <v>1</v>
      </c>
      <c r="E156" s="747"/>
      <c r="F156" s="747"/>
      <c r="G156" s="748"/>
      <c r="H156" s="151"/>
      <c r="I156" s="159">
        <f ca="1">OFFSET(Cost_Ingredients!$M$146,D156,0)</f>
        <v>0</v>
      </c>
      <c r="J156" s="64"/>
      <c r="L156" s="162">
        <f ca="1">OFFSET(Cost_Ingredients!$N$146,D156,0)*J156</f>
        <v>0</v>
      </c>
      <c r="M156" s="162">
        <f ca="1">OFFSET(Cost_Ingredients!$O$146,D156,0)*J156</f>
        <v>0</v>
      </c>
      <c r="N156" s="163">
        <f ca="1">L156/Cost_Ingredients!$J$21</f>
        <v>0</v>
      </c>
      <c r="O156" s="163">
        <f ca="1">M156/Cost_Ingredients!$J$21</f>
        <v>0</v>
      </c>
      <c r="P156" s="151"/>
    </row>
    <row r="157" spans="3:16" s="23" customFormat="1" outlineLevel="1">
      <c r="D157" s="746">
        <v>1</v>
      </c>
      <c r="E157" s="747"/>
      <c r="F157" s="747"/>
      <c r="G157" s="748"/>
      <c r="H157" s="151"/>
      <c r="I157" s="159">
        <f ca="1">OFFSET(Cost_Ingredients!$M$146,D157,0)</f>
        <v>0</v>
      </c>
      <c r="J157" s="64">
        <v>0</v>
      </c>
      <c r="L157" s="162">
        <f ca="1">OFFSET(Cost_Ingredients!$N$146,D157,0)*J157</f>
        <v>0</v>
      </c>
      <c r="M157" s="162">
        <f ca="1">OFFSET(Cost_Ingredients!$O$146,D157,0)*J157</f>
        <v>0</v>
      </c>
      <c r="N157" s="163">
        <f ca="1">L157/Cost_Ingredients!$J$21</f>
        <v>0</v>
      </c>
      <c r="O157" s="163">
        <f ca="1">M157/Cost_Ingredients!$J$21</f>
        <v>0</v>
      </c>
      <c r="P157" s="151"/>
    </row>
    <row r="158" spans="3:16" s="23" customFormat="1" outlineLevel="1">
      <c r="D158" s="746">
        <v>1</v>
      </c>
      <c r="E158" s="747"/>
      <c r="F158" s="747"/>
      <c r="G158" s="748"/>
      <c r="H158" s="151"/>
      <c r="I158" s="159">
        <f ca="1">OFFSET(Cost_Ingredients!$M$146,D158,0)</f>
        <v>0</v>
      </c>
      <c r="J158" s="64">
        <v>0</v>
      </c>
      <c r="L158" s="162">
        <f ca="1">OFFSET(Cost_Ingredients!$N$146,D158,0)*J158</f>
        <v>0</v>
      </c>
      <c r="M158" s="162">
        <f ca="1">OFFSET(Cost_Ingredients!$O$146,D158,0)*J158</f>
        <v>0</v>
      </c>
      <c r="N158" s="163">
        <f ca="1">L158/Cost_Ingredients!$J$21</f>
        <v>0</v>
      </c>
      <c r="O158" s="163">
        <f ca="1">M158/Cost_Ingredients!$J$21</f>
        <v>0</v>
      </c>
      <c r="P158" s="151"/>
    </row>
    <row r="159" spans="3:16" s="23" customFormat="1" outlineLevel="1">
      <c r="D159" s="746">
        <v>1</v>
      </c>
      <c r="E159" s="747"/>
      <c r="F159" s="747"/>
      <c r="G159" s="748"/>
      <c r="H159" s="151"/>
      <c r="I159" s="159">
        <f ca="1">OFFSET(Cost_Ingredients!$M$146,D159,0)</f>
        <v>0</v>
      </c>
      <c r="J159" s="64">
        <v>0</v>
      </c>
      <c r="L159" s="162">
        <f ca="1">OFFSET(Cost_Ingredients!$N$146,D159,0)*J159</f>
        <v>0</v>
      </c>
      <c r="M159" s="162">
        <f ca="1">OFFSET(Cost_Ingredients!$O$146,D159,0)*J159</f>
        <v>0</v>
      </c>
      <c r="N159" s="163">
        <f ca="1">L159/Cost_Ingredients!$J$21</f>
        <v>0</v>
      </c>
      <c r="O159" s="163">
        <f ca="1">M159/Cost_Ingredients!$J$21</f>
        <v>0</v>
      </c>
      <c r="P159" s="151"/>
    </row>
    <row r="160" spans="3:16" s="23" customFormat="1" outlineLevel="1">
      <c r="D160" s="746">
        <v>1</v>
      </c>
      <c r="E160" s="747"/>
      <c r="F160" s="747"/>
      <c r="G160" s="748"/>
      <c r="H160" s="151"/>
      <c r="I160" s="159">
        <f ca="1">OFFSET(Cost_Ingredients!$M$146,D160,0)</f>
        <v>0</v>
      </c>
      <c r="J160" s="64">
        <v>0</v>
      </c>
      <c r="L160" s="162">
        <f ca="1">OFFSET(Cost_Ingredients!$N$146,D160,0)*J160</f>
        <v>0</v>
      </c>
      <c r="M160" s="162">
        <f ca="1">OFFSET(Cost_Ingredients!$O$146,D160,0)*J160</f>
        <v>0</v>
      </c>
      <c r="N160" s="163">
        <f ca="1">L160/Cost_Ingredients!$J$21</f>
        <v>0</v>
      </c>
      <c r="O160" s="163">
        <f ca="1">M160/Cost_Ingredients!$J$21</f>
        <v>0</v>
      </c>
      <c r="P160" s="151"/>
    </row>
    <row r="161" spans="3:16" s="23" customFormat="1" outlineLevel="1">
      <c r="D161" s="746">
        <v>1</v>
      </c>
      <c r="E161" s="747"/>
      <c r="F161" s="747"/>
      <c r="G161" s="748"/>
      <c r="H161" s="151"/>
      <c r="I161" s="159">
        <f ca="1">OFFSET(Cost_Ingredients!$M$146,D161,0)</f>
        <v>0</v>
      </c>
      <c r="J161" s="64">
        <v>0</v>
      </c>
      <c r="L161" s="162">
        <f ca="1">OFFSET(Cost_Ingredients!$N$146,D161,0)*J161</f>
        <v>0</v>
      </c>
      <c r="M161" s="162">
        <f ca="1">OFFSET(Cost_Ingredients!$O$146,D161,0)*J161</f>
        <v>0</v>
      </c>
      <c r="N161" s="163">
        <f ca="1">L161/Cost_Ingredients!$J$21</f>
        <v>0</v>
      </c>
      <c r="O161" s="163">
        <f ca="1">M161/Cost_Ingredients!$J$21</f>
        <v>0</v>
      </c>
      <c r="P161" s="151"/>
    </row>
    <row r="162" spans="3:16" s="23" customFormat="1" outlineLevel="1">
      <c r="D162" s="746">
        <v>1</v>
      </c>
      <c r="E162" s="747"/>
      <c r="F162" s="747"/>
      <c r="G162" s="748"/>
      <c r="H162" s="151"/>
      <c r="I162" s="159">
        <f ca="1">OFFSET(Cost_Ingredients!$M$146,D162,0)</f>
        <v>0</v>
      </c>
      <c r="J162" s="64">
        <v>0</v>
      </c>
      <c r="L162" s="162">
        <f ca="1">OFFSET(Cost_Ingredients!$N$146,D162,0)*J162</f>
        <v>0</v>
      </c>
      <c r="M162" s="162">
        <f ca="1">OFFSET(Cost_Ingredients!$O$146,D162,0)*J162</f>
        <v>0</v>
      </c>
      <c r="N162" s="163">
        <f ca="1">L162/Cost_Ingredients!$J$21</f>
        <v>0</v>
      </c>
      <c r="O162" s="163">
        <f ca="1">M162/Cost_Ingredients!$J$21</f>
        <v>0</v>
      </c>
      <c r="P162" s="151"/>
    </row>
    <row r="163" spans="3:16" s="23" customFormat="1" outlineLevel="1">
      <c r="D163" s="746">
        <v>1</v>
      </c>
      <c r="E163" s="747"/>
      <c r="F163" s="747"/>
      <c r="G163" s="748"/>
      <c r="H163" s="151"/>
      <c r="I163" s="159">
        <f ca="1">OFFSET(Cost_Ingredients!$M$146,D163,0)</f>
        <v>0</v>
      </c>
      <c r="J163" s="64">
        <v>0</v>
      </c>
      <c r="L163" s="162">
        <f ca="1">OFFSET(Cost_Ingredients!$N$146,D163,0)*J163</f>
        <v>0</v>
      </c>
      <c r="M163" s="162">
        <f ca="1">OFFSET(Cost_Ingredients!$O$146,D163,0)*J163</f>
        <v>0</v>
      </c>
      <c r="N163" s="163">
        <f ca="1">L163/Cost_Ingredients!$J$21</f>
        <v>0</v>
      </c>
      <c r="O163" s="163">
        <f ca="1">M163/Cost_Ingredients!$J$21</f>
        <v>0</v>
      </c>
      <c r="P163" s="151"/>
    </row>
    <row r="164" spans="3:16" s="23" customFormat="1" outlineLevel="1">
      <c r="D164" s="746">
        <v>1</v>
      </c>
      <c r="E164" s="747"/>
      <c r="F164" s="747"/>
      <c r="G164" s="748"/>
      <c r="H164" s="151"/>
      <c r="I164" s="159">
        <f ca="1">OFFSET(Cost_Ingredients!$M$146,D164,0)</f>
        <v>0</v>
      </c>
      <c r="J164" s="64">
        <v>0</v>
      </c>
      <c r="L164" s="162">
        <f ca="1">OFFSET(Cost_Ingredients!$N$146,D164,0)*J164</f>
        <v>0</v>
      </c>
      <c r="M164" s="162">
        <f ca="1">OFFSET(Cost_Ingredients!$O$146,D164,0)*J164</f>
        <v>0</v>
      </c>
      <c r="N164" s="163">
        <f ca="1">L164/Cost_Ingredients!$J$21</f>
        <v>0</v>
      </c>
      <c r="O164" s="163">
        <f ca="1">M164/Cost_Ingredients!$J$21</f>
        <v>0</v>
      </c>
      <c r="P164" s="151"/>
    </row>
    <row r="165" spans="3:16" s="23" customFormat="1" outlineLevel="1">
      <c r="D165" s="746">
        <v>1</v>
      </c>
      <c r="E165" s="747"/>
      <c r="F165" s="747"/>
      <c r="G165" s="748"/>
      <c r="H165" s="151"/>
      <c r="I165" s="159">
        <f ca="1">OFFSET(Cost_Ingredients!$M$146,D165,0)</f>
        <v>0</v>
      </c>
      <c r="J165" s="64">
        <v>0</v>
      </c>
      <c r="L165" s="162">
        <f ca="1">OFFSET(Cost_Ingredients!$N$146,D165,0)*J165</f>
        <v>0</v>
      </c>
      <c r="M165" s="162">
        <f ca="1">OFFSET(Cost_Ingredients!$O$146,D165,0)*J165</f>
        <v>0</v>
      </c>
      <c r="N165" s="163">
        <f ca="1">L165/Cost_Ingredients!$J$21</f>
        <v>0</v>
      </c>
      <c r="O165" s="163">
        <f ca="1">M165/Cost_Ingredients!$J$21</f>
        <v>0</v>
      </c>
      <c r="P165" s="151"/>
    </row>
    <row r="166" spans="3:16" s="23" customFormat="1" outlineLevel="1">
      <c r="D166" s="746">
        <v>1</v>
      </c>
      <c r="E166" s="747"/>
      <c r="F166" s="747"/>
      <c r="G166" s="748"/>
      <c r="H166" s="151"/>
      <c r="I166" s="159">
        <f ca="1">OFFSET(Cost_Ingredients!$M$146,D166,0)</f>
        <v>0</v>
      </c>
      <c r="J166" s="64">
        <v>0</v>
      </c>
      <c r="L166" s="162">
        <f ca="1">OFFSET(Cost_Ingredients!$N$146,D166,0)*J166</f>
        <v>0</v>
      </c>
      <c r="M166" s="162">
        <f ca="1">OFFSET(Cost_Ingredients!$O$146,D166,0)*J166</f>
        <v>0</v>
      </c>
      <c r="N166" s="163">
        <f ca="1">L166/Cost_Ingredients!$J$21</f>
        <v>0</v>
      </c>
      <c r="O166" s="163">
        <f ca="1">M166/Cost_Ingredients!$J$21</f>
        <v>0</v>
      </c>
      <c r="P166" s="151"/>
    </row>
    <row r="167" spans="3:16" s="23" customFormat="1" outlineLevel="1">
      <c r="D167" s="746">
        <v>1</v>
      </c>
      <c r="E167" s="747"/>
      <c r="F167" s="747"/>
      <c r="G167" s="748"/>
      <c r="H167" s="151"/>
      <c r="I167" s="159">
        <f ca="1">OFFSET(Cost_Ingredients!$M$146,D167,0)</f>
        <v>0</v>
      </c>
      <c r="J167" s="64">
        <v>0</v>
      </c>
      <c r="L167" s="162">
        <f ca="1">OFFSET(Cost_Ingredients!$N$146,D167,0)*J167</f>
        <v>0</v>
      </c>
      <c r="M167" s="162">
        <f ca="1">OFFSET(Cost_Ingredients!$O$146,D167,0)*J167</f>
        <v>0</v>
      </c>
      <c r="N167" s="163">
        <f ca="1">L167/Cost_Ingredients!$J$21</f>
        <v>0</v>
      </c>
      <c r="O167" s="163">
        <f ca="1">M167/Cost_Ingredients!$J$21</f>
        <v>0</v>
      </c>
      <c r="P167" s="151"/>
    </row>
    <row r="168" spans="3:16" s="23" customFormat="1" outlineLevel="1">
      <c r="D168" s="746">
        <v>1</v>
      </c>
      <c r="E168" s="747"/>
      <c r="F168" s="747"/>
      <c r="G168" s="748"/>
      <c r="H168" s="151"/>
      <c r="I168" s="159">
        <f ca="1">OFFSET(Cost_Ingredients!$M$146,D168,0)</f>
        <v>0</v>
      </c>
      <c r="J168" s="64">
        <v>0</v>
      </c>
      <c r="L168" s="162">
        <f ca="1">OFFSET(Cost_Ingredients!$N$146,D168,0)*J168</f>
        <v>0</v>
      </c>
      <c r="M168" s="162">
        <f ca="1">OFFSET(Cost_Ingredients!$O$146,D168,0)*J168</f>
        <v>0</v>
      </c>
      <c r="N168" s="163">
        <f ca="1">L168/Cost_Ingredients!$J$21</f>
        <v>0</v>
      </c>
      <c r="O168" s="163">
        <f ca="1">M168/Cost_Ingredients!$J$21</f>
        <v>0</v>
      </c>
      <c r="P168" s="151"/>
    </row>
    <row r="169" spans="3:16" s="23" customFormat="1" outlineLevel="1">
      <c r="D169" s="746">
        <v>1</v>
      </c>
      <c r="E169" s="747"/>
      <c r="F169" s="747"/>
      <c r="G169" s="748"/>
      <c r="H169" s="151"/>
      <c r="I169" s="159">
        <f ca="1">OFFSET(Cost_Ingredients!$M$146,D169,0)</f>
        <v>0</v>
      </c>
      <c r="J169" s="64">
        <v>0</v>
      </c>
      <c r="L169" s="162">
        <f ca="1">OFFSET(Cost_Ingredients!$N$146,D169,0)*J169</f>
        <v>0</v>
      </c>
      <c r="M169" s="162">
        <f ca="1">OFFSET(Cost_Ingredients!$O$146,D169,0)*J169</f>
        <v>0</v>
      </c>
      <c r="N169" s="163">
        <f ca="1">L169/Cost_Ingredients!$J$21</f>
        <v>0</v>
      </c>
      <c r="O169" s="163">
        <f ca="1">M169/Cost_Ingredients!$J$21</f>
        <v>0</v>
      </c>
      <c r="P169" s="151"/>
    </row>
    <row r="170" spans="3:16" s="23" customFormat="1" outlineLevel="1">
      <c r="D170" s="746">
        <v>1</v>
      </c>
      <c r="E170" s="747"/>
      <c r="F170" s="747"/>
      <c r="G170" s="748"/>
      <c r="H170" s="172"/>
      <c r="I170" s="159">
        <f ca="1">OFFSET(Cost_Ingredients!$M$146,D170,0)</f>
        <v>0</v>
      </c>
      <c r="J170" s="173">
        <v>0</v>
      </c>
      <c r="L170" s="162">
        <f ca="1">OFFSET(Cost_Ingredients!$N$146,D170,0)*J170</f>
        <v>0</v>
      </c>
      <c r="M170" s="162">
        <f ca="1">OFFSET(Cost_Ingredients!$O$146,D170,0)*J170</f>
        <v>0</v>
      </c>
      <c r="N170" s="163">
        <f ca="1">L170/Cost_Ingredients!$J$21</f>
        <v>0</v>
      </c>
      <c r="O170" s="163">
        <f ca="1">M170/Cost_Ingredients!$J$21</f>
        <v>0</v>
      </c>
      <c r="P170" s="172"/>
    </row>
    <row r="171" spans="3:16" s="23" customFormat="1">
      <c r="D171" s="754" t="str">
        <f>"Subtotal - "&amp;C154</f>
        <v>Subtotal - Other Direct Costs (Recurrent)</v>
      </c>
      <c r="E171" s="755"/>
      <c r="F171" s="755"/>
      <c r="G171" s="755"/>
      <c r="H171" s="156"/>
      <c r="I171" s="156"/>
      <c r="J171" s="69"/>
      <c r="L171" s="255">
        <f ca="1">SUM(L156:L170)</f>
        <v>0</v>
      </c>
      <c r="M171" s="255">
        <f ca="1">SUM(M156:M170)</f>
        <v>0</v>
      </c>
      <c r="N171" s="258">
        <f ca="1">SUM(N156:N170)</f>
        <v>0</v>
      </c>
      <c r="O171" s="258">
        <f ca="1">SUM(O156:O170)</f>
        <v>0</v>
      </c>
      <c r="P171" s="156"/>
    </row>
    <row r="173" spans="3:16" ht="15" thickBot="1">
      <c r="C173" s="70" t="str">
        <f>C93&amp;" -Cost per Activity"</f>
        <v>Detailed Cost Estimate: SIA - Team of 1 Doctor and 1 Nurse - Full Working Day -Cost per Activity</v>
      </c>
      <c r="L173" s="44">
        <f ca="1">SUM(L114,L133,L152,L171)</f>
        <v>0</v>
      </c>
      <c r="M173" s="44">
        <f ca="1">SUM(M114,M133,M152,M171)</f>
        <v>6764.0772727272724</v>
      </c>
      <c r="N173" s="147">
        <f ca="1">SUM(N114,N133,N152,N171)</f>
        <v>0</v>
      </c>
      <c r="O173" s="147">
        <f ca="1">SUM(O114,O133,O152,O171)</f>
        <v>45.093848484848486</v>
      </c>
    </row>
    <row r="174" spans="3:16" ht="15" thickTop="1"/>
    <row r="176" spans="3:16" ht="15.6">
      <c r="C176" s="171" t="str">
        <f>"Detailed Cost Estimate: "&amp;FLU_LU!$D$357</f>
        <v>Detailed Cost Estimate: Service Delivery - Special Immunization Activity Category 3</v>
      </c>
    </row>
    <row r="177" spans="3:16" s="61" customFormat="1">
      <c r="F177" s="152" t="s">
        <v>597</v>
      </c>
      <c r="H177" s="758">
        <f>SD_IMM!G26:I26</f>
        <v>0</v>
      </c>
      <c r="I177" s="775"/>
      <c r="J177" s="775"/>
      <c r="K177" s="775"/>
      <c r="L177" s="775"/>
      <c r="M177" s="775"/>
      <c r="N177" s="775"/>
      <c r="O177" s="775"/>
      <c r="P177" s="775"/>
    </row>
    <row r="178" spans="3:16" s="61" customFormat="1" ht="15.6">
      <c r="C178" s="111" t="s">
        <v>682</v>
      </c>
    </row>
    <row r="180" spans="3:16">
      <c r="C180" s="160" t="str">
        <f>FLU_LU!$D$278</f>
        <v xml:space="preserve">Personnel </v>
      </c>
    </row>
    <row r="181" spans="3:16" ht="43.2" outlineLevel="1">
      <c r="D181" s="733" t="s">
        <v>100</v>
      </c>
      <c r="E181" s="733"/>
      <c r="F181" s="733"/>
      <c r="G181" s="733"/>
      <c r="H181" s="142" t="s">
        <v>274</v>
      </c>
      <c r="I181" s="72" t="s">
        <v>474</v>
      </c>
      <c r="J181" s="152" t="s">
        <v>67</v>
      </c>
      <c r="K181" s="72" t="s">
        <v>475</v>
      </c>
      <c r="L181" s="28" t="str">
        <f>"Financial Price ("&amp;FLU_LU!$D$79&amp;")"</f>
        <v>Financial Price (GOZ)</v>
      </c>
      <c r="M181" s="28" t="str">
        <f>"Economic Price ("&amp;FLU_LU!$D$79&amp;")"</f>
        <v>Economic Price (GOZ)</v>
      </c>
      <c r="N181" s="28" t="str">
        <f>"Financial Price ("&amp;FLU_LU!$D$78&amp;")"</f>
        <v>Financial Price (USD)</v>
      </c>
      <c r="O181" s="28" t="str">
        <f>"Economic Price ("&amp;FLU_LU!$D$78&amp;")"</f>
        <v>Economic Price (USD)</v>
      </c>
      <c r="P181" s="152" t="s">
        <v>68</v>
      </c>
    </row>
    <row r="182" spans="3:16" s="23" customFormat="1" outlineLevel="1">
      <c r="D182" s="746">
        <v>1</v>
      </c>
      <c r="E182" s="746"/>
      <c r="F182" s="746"/>
      <c r="G182" s="749"/>
      <c r="H182" s="151"/>
      <c r="I182" s="31">
        <v>1</v>
      </c>
      <c r="J182" s="64"/>
      <c r="K182" s="135">
        <f t="shared" ref="K182:K196" si="2">IF(I182=1,J182/FLU_DAYS_PER_MONTH,IF(I182=2,J182/FLU_HOURS_PER_MONTH,J182/FLU_MINUTES_PER_MONTH))</f>
        <v>0</v>
      </c>
      <c r="L182" s="162">
        <f ca="1">OFFSET(Cost_Ingredients!$N$73,D182,0)*K182</f>
        <v>0</v>
      </c>
      <c r="M182" s="162">
        <f ca="1">OFFSET(Cost_Ingredients!$O$73,D182,0)*K182</f>
        <v>0</v>
      </c>
      <c r="N182" s="179">
        <f ca="1">L182/Cost_Ingredients!$J$21</f>
        <v>0</v>
      </c>
      <c r="O182" s="179">
        <f ca="1">M182/Cost_Ingredients!$J$21</f>
        <v>0</v>
      </c>
      <c r="P182" s="151"/>
    </row>
    <row r="183" spans="3:16" s="23" customFormat="1" outlineLevel="1">
      <c r="D183" s="746">
        <v>1</v>
      </c>
      <c r="E183" s="746"/>
      <c r="F183" s="746"/>
      <c r="G183" s="749"/>
      <c r="H183" s="151"/>
      <c r="I183" s="31">
        <v>1</v>
      </c>
      <c r="J183" s="64"/>
      <c r="K183" s="135">
        <f t="shared" si="2"/>
        <v>0</v>
      </c>
      <c r="L183" s="162">
        <f ca="1">OFFSET(Cost_Ingredients!$N$73,D183,0)*K183</f>
        <v>0</v>
      </c>
      <c r="M183" s="162">
        <f ca="1">OFFSET(Cost_Ingredients!$O$73,D183,0)*K183</f>
        <v>0</v>
      </c>
      <c r="N183" s="179">
        <f ca="1">L183/Cost_Ingredients!$J$21</f>
        <v>0</v>
      </c>
      <c r="O183" s="179">
        <f ca="1">M183/Cost_Ingredients!$J$21</f>
        <v>0</v>
      </c>
      <c r="P183" s="151"/>
    </row>
    <row r="184" spans="3:16" s="23" customFormat="1" outlineLevel="1">
      <c r="D184" s="746">
        <v>1</v>
      </c>
      <c r="E184" s="746"/>
      <c r="F184" s="746"/>
      <c r="G184" s="749"/>
      <c r="H184" s="151"/>
      <c r="I184" s="31">
        <v>1</v>
      </c>
      <c r="J184" s="64">
        <v>0</v>
      </c>
      <c r="K184" s="135">
        <f t="shared" si="2"/>
        <v>0</v>
      </c>
      <c r="L184" s="162">
        <f ca="1">OFFSET(Cost_Ingredients!$N$73,D184,0)*K184</f>
        <v>0</v>
      </c>
      <c r="M184" s="162">
        <f ca="1">OFFSET(Cost_Ingredients!$O$73,D184,0)*K184</f>
        <v>0</v>
      </c>
      <c r="N184" s="179">
        <f ca="1">L184/Cost_Ingredients!$J$21</f>
        <v>0</v>
      </c>
      <c r="O184" s="179">
        <f ca="1">M184/Cost_Ingredients!$J$21</f>
        <v>0</v>
      </c>
      <c r="P184" s="151"/>
    </row>
    <row r="185" spans="3:16" s="23" customFormat="1" outlineLevel="1">
      <c r="D185" s="746">
        <v>1</v>
      </c>
      <c r="E185" s="746"/>
      <c r="F185" s="746"/>
      <c r="G185" s="749"/>
      <c r="H185" s="151"/>
      <c r="I185" s="31">
        <v>1</v>
      </c>
      <c r="J185" s="64">
        <v>0</v>
      </c>
      <c r="K185" s="135">
        <f t="shared" si="2"/>
        <v>0</v>
      </c>
      <c r="L185" s="162">
        <f ca="1">OFFSET(Cost_Ingredients!$N$73,D185,0)*K185</f>
        <v>0</v>
      </c>
      <c r="M185" s="162">
        <f ca="1">OFFSET(Cost_Ingredients!$O$73,D185,0)*K185</f>
        <v>0</v>
      </c>
      <c r="N185" s="179">
        <f ca="1">L185/Cost_Ingredients!$J$21</f>
        <v>0</v>
      </c>
      <c r="O185" s="179">
        <f ca="1">M185/Cost_Ingredients!$J$21</f>
        <v>0</v>
      </c>
      <c r="P185" s="151"/>
    </row>
    <row r="186" spans="3:16" s="23" customFormat="1" outlineLevel="1">
      <c r="D186" s="746">
        <v>1</v>
      </c>
      <c r="E186" s="746"/>
      <c r="F186" s="746"/>
      <c r="G186" s="749"/>
      <c r="H186" s="151"/>
      <c r="I186" s="31">
        <v>1</v>
      </c>
      <c r="J186" s="64">
        <v>0</v>
      </c>
      <c r="K186" s="135">
        <f t="shared" si="2"/>
        <v>0</v>
      </c>
      <c r="L186" s="162">
        <f ca="1">OFFSET(Cost_Ingredients!$N$73,D186,0)*K186</f>
        <v>0</v>
      </c>
      <c r="M186" s="162">
        <f ca="1">OFFSET(Cost_Ingredients!$O$73,D186,0)*K186</f>
        <v>0</v>
      </c>
      <c r="N186" s="179">
        <f ca="1">L186/Cost_Ingredients!$J$21</f>
        <v>0</v>
      </c>
      <c r="O186" s="179">
        <f ca="1">M186/Cost_Ingredients!$J$21</f>
        <v>0</v>
      </c>
      <c r="P186" s="151"/>
    </row>
    <row r="187" spans="3:16" s="23" customFormat="1" outlineLevel="1">
      <c r="D187" s="746">
        <v>1</v>
      </c>
      <c r="E187" s="746"/>
      <c r="F187" s="746"/>
      <c r="G187" s="749"/>
      <c r="H187" s="151"/>
      <c r="I187" s="31">
        <v>1</v>
      </c>
      <c r="J187" s="64">
        <v>0</v>
      </c>
      <c r="K187" s="135">
        <f t="shared" si="2"/>
        <v>0</v>
      </c>
      <c r="L187" s="162">
        <f ca="1">OFFSET(Cost_Ingredients!$N$73,D187,0)*K187</f>
        <v>0</v>
      </c>
      <c r="M187" s="162">
        <f ca="1">OFFSET(Cost_Ingredients!$O$73,D187,0)*K187</f>
        <v>0</v>
      </c>
      <c r="N187" s="179">
        <f ca="1">L187/Cost_Ingredients!$J$21</f>
        <v>0</v>
      </c>
      <c r="O187" s="179">
        <f ca="1">M187/Cost_Ingredients!$J$21</f>
        <v>0</v>
      </c>
      <c r="P187" s="151"/>
    </row>
    <row r="188" spans="3:16" s="23" customFormat="1" outlineLevel="1">
      <c r="D188" s="746">
        <v>1</v>
      </c>
      <c r="E188" s="746"/>
      <c r="F188" s="746"/>
      <c r="G188" s="749"/>
      <c r="H188" s="151"/>
      <c r="I188" s="31">
        <v>1</v>
      </c>
      <c r="J188" s="64">
        <v>0</v>
      </c>
      <c r="K188" s="135">
        <f t="shared" si="2"/>
        <v>0</v>
      </c>
      <c r="L188" s="162">
        <f ca="1">OFFSET(Cost_Ingredients!$N$73,D188,0)*K188</f>
        <v>0</v>
      </c>
      <c r="M188" s="162">
        <f ca="1">OFFSET(Cost_Ingredients!$O$73,D188,0)*K188</f>
        <v>0</v>
      </c>
      <c r="N188" s="179">
        <f ca="1">L188/Cost_Ingredients!$J$21</f>
        <v>0</v>
      </c>
      <c r="O188" s="179">
        <f ca="1">M188/Cost_Ingredients!$J$21</f>
        <v>0</v>
      </c>
      <c r="P188" s="151"/>
    </row>
    <row r="189" spans="3:16" s="23" customFormat="1" outlineLevel="1">
      <c r="D189" s="746">
        <v>1</v>
      </c>
      <c r="E189" s="746"/>
      <c r="F189" s="746"/>
      <c r="G189" s="749"/>
      <c r="H189" s="151"/>
      <c r="I189" s="31">
        <v>1</v>
      </c>
      <c r="J189" s="64">
        <v>0</v>
      </c>
      <c r="K189" s="135">
        <f t="shared" si="2"/>
        <v>0</v>
      </c>
      <c r="L189" s="162">
        <f ca="1">OFFSET(Cost_Ingredients!$N$73,D189,0)*K189</f>
        <v>0</v>
      </c>
      <c r="M189" s="162">
        <f ca="1">OFFSET(Cost_Ingredients!$O$73,D189,0)*K189</f>
        <v>0</v>
      </c>
      <c r="N189" s="179">
        <f ca="1">L189/Cost_Ingredients!$J$21</f>
        <v>0</v>
      </c>
      <c r="O189" s="179">
        <f ca="1">M189/Cost_Ingredients!$J$21</f>
        <v>0</v>
      </c>
      <c r="P189" s="151"/>
    </row>
    <row r="190" spans="3:16" s="23" customFormat="1" outlineLevel="1">
      <c r="D190" s="746">
        <v>1</v>
      </c>
      <c r="E190" s="746"/>
      <c r="F190" s="746"/>
      <c r="G190" s="749"/>
      <c r="H190" s="151"/>
      <c r="I190" s="31">
        <v>1</v>
      </c>
      <c r="J190" s="64">
        <v>0</v>
      </c>
      <c r="K190" s="135">
        <f t="shared" si="2"/>
        <v>0</v>
      </c>
      <c r="L190" s="162">
        <f ca="1">OFFSET(Cost_Ingredients!$N$73,D190,0)*K190</f>
        <v>0</v>
      </c>
      <c r="M190" s="162">
        <f ca="1">OFFSET(Cost_Ingredients!$O$73,D190,0)*K190</f>
        <v>0</v>
      </c>
      <c r="N190" s="179">
        <f ca="1">L190/Cost_Ingredients!$J$21</f>
        <v>0</v>
      </c>
      <c r="O190" s="179">
        <f ca="1">M190/Cost_Ingredients!$J$21</f>
        <v>0</v>
      </c>
      <c r="P190" s="151"/>
    </row>
    <row r="191" spans="3:16" s="23" customFormat="1" outlineLevel="1">
      <c r="D191" s="746">
        <v>1</v>
      </c>
      <c r="E191" s="746"/>
      <c r="F191" s="746"/>
      <c r="G191" s="749"/>
      <c r="H191" s="151"/>
      <c r="I191" s="31">
        <v>1</v>
      </c>
      <c r="J191" s="64">
        <v>0</v>
      </c>
      <c r="K191" s="135">
        <f t="shared" si="2"/>
        <v>0</v>
      </c>
      <c r="L191" s="162">
        <f ca="1">OFFSET(Cost_Ingredients!$N$73,D191,0)*K191</f>
        <v>0</v>
      </c>
      <c r="M191" s="162">
        <f ca="1">OFFSET(Cost_Ingredients!$O$73,D191,0)*K191</f>
        <v>0</v>
      </c>
      <c r="N191" s="179">
        <f ca="1">L191/Cost_Ingredients!$J$21</f>
        <v>0</v>
      </c>
      <c r="O191" s="179">
        <f ca="1">M191/Cost_Ingredients!$J$21</f>
        <v>0</v>
      </c>
      <c r="P191" s="151"/>
    </row>
    <row r="192" spans="3:16" s="23" customFormat="1" outlineLevel="1">
      <c r="D192" s="746">
        <v>1</v>
      </c>
      <c r="E192" s="746"/>
      <c r="F192" s="746"/>
      <c r="G192" s="749"/>
      <c r="H192" s="151"/>
      <c r="I192" s="31">
        <v>1</v>
      </c>
      <c r="J192" s="64">
        <v>0</v>
      </c>
      <c r="K192" s="135">
        <f t="shared" si="2"/>
        <v>0</v>
      </c>
      <c r="L192" s="162">
        <f ca="1">OFFSET(Cost_Ingredients!$N$73,D192,0)*K192</f>
        <v>0</v>
      </c>
      <c r="M192" s="162">
        <f ca="1">OFFSET(Cost_Ingredients!$O$73,D192,0)*K192</f>
        <v>0</v>
      </c>
      <c r="N192" s="179">
        <f ca="1">L192/Cost_Ingredients!$J$21</f>
        <v>0</v>
      </c>
      <c r="O192" s="179">
        <f ca="1">M192/Cost_Ingredients!$J$21</f>
        <v>0</v>
      </c>
      <c r="P192" s="151"/>
    </row>
    <row r="193" spans="3:16" s="23" customFormat="1" outlineLevel="1">
      <c r="D193" s="746">
        <v>1</v>
      </c>
      <c r="E193" s="746"/>
      <c r="F193" s="746"/>
      <c r="G193" s="749"/>
      <c r="H193" s="151"/>
      <c r="I193" s="31">
        <v>1</v>
      </c>
      <c r="J193" s="64">
        <v>0</v>
      </c>
      <c r="K193" s="135">
        <f t="shared" si="2"/>
        <v>0</v>
      </c>
      <c r="L193" s="162">
        <f ca="1">OFFSET(Cost_Ingredients!$N$73,D193,0)*K193</f>
        <v>0</v>
      </c>
      <c r="M193" s="162">
        <f ca="1">OFFSET(Cost_Ingredients!$O$73,D193,0)*K193</f>
        <v>0</v>
      </c>
      <c r="N193" s="179">
        <f ca="1">L193/Cost_Ingredients!$J$21</f>
        <v>0</v>
      </c>
      <c r="O193" s="179">
        <f ca="1">M193/Cost_Ingredients!$J$21</f>
        <v>0</v>
      </c>
      <c r="P193" s="151"/>
    </row>
    <row r="194" spans="3:16" s="23" customFormat="1" outlineLevel="1">
      <c r="D194" s="746">
        <v>1</v>
      </c>
      <c r="E194" s="746"/>
      <c r="F194" s="746"/>
      <c r="G194" s="749"/>
      <c r="H194" s="151"/>
      <c r="I194" s="31">
        <v>1</v>
      </c>
      <c r="J194" s="64">
        <v>0</v>
      </c>
      <c r="K194" s="135">
        <f t="shared" si="2"/>
        <v>0</v>
      </c>
      <c r="L194" s="162">
        <f ca="1">OFFSET(Cost_Ingredients!$N$73,D194,0)*K194</f>
        <v>0</v>
      </c>
      <c r="M194" s="162">
        <f ca="1">OFFSET(Cost_Ingredients!$O$73,D194,0)*K194</f>
        <v>0</v>
      </c>
      <c r="N194" s="179">
        <f ca="1">L194/Cost_Ingredients!$J$21</f>
        <v>0</v>
      </c>
      <c r="O194" s="179">
        <f ca="1">M194/Cost_Ingredients!$J$21</f>
        <v>0</v>
      </c>
      <c r="P194" s="151"/>
    </row>
    <row r="195" spans="3:16" s="23" customFormat="1" outlineLevel="1">
      <c r="D195" s="746">
        <v>1</v>
      </c>
      <c r="E195" s="746"/>
      <c r="F195" s="746"/>
      <c r="G195" s="749"/>
      <c r="H195" s="151"/>
      <c r="I195" s="31">
        <v>1</v>
      </c>
      <c r="J195" s="64">
        <v>0</v>
      </c>
      <c r="K195" s="135">
        <f t="shared" si="2"/>
        <v>0</v>
      </c>
      <c r="L195" s="162">
        <f ca="1">OFFSET(Cost_Ingredients!$N$73,D195,0)*K195</f>
        <v>0</v>
      </c>
      <c r="M195" s="162">
        <f ca="1">OFFSET(Cost_Ingredients!$O$73,D195,0)*K195</f>
        <v>0</v>
      </c>
      <c r="N195" s="179">
        <f ca="1">L195/Cost_Ingredients!$J$21</f>
        <v>0</v>
      </c>
      <c r="O195" s="179">
        <f ca="1">M195/Cost_Ingredients!$J$21</f>
        <v>0</v>
      </c>
      <c r="P195" s="151"/>
    </row>
    <row r="196" spans="3:16" s="23" customFormat="1" outlineLevel="1">
      <c r="D196" s="746">
        <v>1</v>
      </c>
      <c r="E196" s="746"/>
      <c r="F196" s="746"/>
      <c r="G196" s="749"/>
      <c r="H196" s="172"/>
      <c r="I196" s="31">
        <v>1</v>
      </c>
      <c r="J196" s="173">
        <v>0</v>
      </c>
      <c r="K196" s="135">
        <f t="shared" si="2"/>
        <v>0</v>
      </c>
      <c r="L196" s="162">
        <f ca="1">OFFSET(Cost_Ingredients!$N$73,D196,0)*K196</f>
        <v>0</v>
      </c>
      <c r="M196" s="162">
        <f ca="1">OFFSET(Cost_Ingredients!$O$73,D196,0)*K196</f>
        <v>0</v>
      </c>
      <c r="N196" s="179">
        <f ca="1">L196/Cost_Ingredients!$J$21</f>
        <v>0</v>
      </c>
      <c r="O196" s="179">
        <f ca="1">M196/Cost_Ingredients!$J$21</f>
        <v>0</v>
      </c>
      <c r="P196" s="172"/>
    </row>
    <row r="197" spans="3:16" s="23" customFormat="1">
      <c r="D197" s="774" t="str">
        <f>"Subtotal - "&amp;C180</f>
        <v xml:space="preserve">Subtotal - Personnel </v>
      </c>
      <c r="E197" s="774"/>
      <c r="F197" s="774"/>
      <c r="G197" s="774"/>
      <c r="H197" s="156"/>
      <c r="I197" s="12"/>
      <c r="J197" s="69"/>
      <c r="K197" s="18"/>
      <c r="L197" s="255">
        <f ca="1">SUM(L182:L196)</f>
        <v>0</v>
      </c>
      <c r="M197" s="255">
        <f ca="1">SUM(M182:M196)</f>
        <v>0</v>
      </c>
      <c r="N197" s="258">
        <f ca="1">SUM(N182:N196)</f>
        <v>0</v>
      </c>
      <c r="O197" s="258">
        <f ca="1">SUM(O182:O196)</f>
        <v>0</v>
      </c>
      <c r="P197" s="156"/>
    </row>
    <row r="199" spans="3:16">
      <c r="C199" s="160" t="str">
        <f>FLU_LU!$D$279</f>
        <v>Allowances</v>
      </c>
    </row>
    <row r="200" spans="3:16" ht="28.8" outlineLevel="1">
      <c r="D200" s="733" t="s">
        <v>100</v>
      </c>
      <c r="E200" s="733"/>
      <c r="F200" s="733"/>
      <c r="G200" s="733"/>
      <c r="H200" s="730" t="s">
        <v>274</v>
      </c>
      <c r="I200" s="730"/>
      <c r="J200" s="152" t="s">
        <v>67</v>
      </c>
      <c r="L200" s="28" t="str">
        <f>"Financial Price ("&amp;FLU_LU!$D$79&amp;")"</f>
        <v>Financial Price (GOZ)</v>
      </c>
      <c r="M200" s="28" t="str">
        <f>"Economic Price ("&amp;FLU_LU!$D$79&amp;")"</f>
        <v>Economic Price (GOZ)</v>
      </c>
      <c r="N200" s="28" t="str">
        <f>"Financial Price ("&amp;FLU_LU!$D$78&amp;")"</f>
        <v>Financial Price (USD)</v>
      </c>
      <c r="O200" s="28" t="str">
        <f>"Economic Price ("&amp;FLU_LU!$D$78&amp;")"</f>
        <v>Economic Price (USD)</v>
      </c>
      <c r="P200" s="152" t="s">
        <v>68</v>
      </c>
    </row>
    <row r="201" spans="3:16" s="23" customFormat="1" outlineLevel="1">
      <c r="D201" s="746">
        <v>2</v>
      </c>
      <c r="E201" s="747"/>
      <c r="F201" s="747"/>
      <c r="G201" s="748"/>
      <c r="H201" s="667"/>
      <c r="I201" s="667"/>
      <c r="J201" s="64">
        <v>2</v>
      </c>
      <c r="L201" s="162">
        <f ca="1">OFFSET(Cost_Ingredients!$N$103,D201,0)*J201</f>
        <v>11000</v>
      </c>
      <c r="M201" s="162">
        <f ca="1">OFFSET(Cost_Ingredients!$O$103,D201,0)*J201</f>
        <v>11000</v>
      </c>
      <c r="N201" s="163">
        <f ca="1">L201/Cost_Ingredients!$J$21</f>
        <v>73.333333333333329</v>
      </c>
      <c r="O201" s="163">
        <f ca="1">M201/Cost_Ingredients!$J$21</f>
        <v>73.333333333333329</v>
      </c>
      <c r="P201" s="151"/>
    </row>
    <row r="202" spans="3:16" s="23" customFormat="1" outlineLevel="1">
      <c r="D202" s="746">
        <v>1</v>
      </c>
      <c r="E202" s="747"/>
      <c r="F202" s="747"/>
      <c r="G202" s="748"/>
      <c r="H202" s="667"/>
      <c r="I202" s="667"/>
      <c r="J202" s="64">
        <v>0</v>
      </c>
      <c r="L202" s="162">
        <f ca="1">OFFSET(Cost_Ingredients!$N$103,D202,0)*J202</f>
        <v>0</v>
      </c>
      <c r="M202" s="162">
        <f ca="1">OFFSET(Cost_Ingredients!$O$103,D202,0)*J202</f>
        <v>0</v>
      </c>
      <c r="N202" s="163">
        <f ca="1">L202/Cost_Ingredients!$J$21</f>
        <v>0</v>
      </c>
      <c r="O202" s="163">
        <f ca="1">M202/Cost_Ingredients!$J$21</f>
        <v>0</v>
      </c>
      <c r="P202" s="151"/>
    </row>
    <row r="203" spans="3:16" s="23" customFormat="1" outlineLevel="1">
      <c r="D203" s="746">
        <v>1</v>
      </c>
      <c r="E203" s="747"/>
      <c r="F203" s="747"/>
      <c r="G203" s="748"/>
      <c r="H203" s="667"/>
      <c r="I203" s="667"/>
      <c r="J203" s="64">
        <v>0</v>
      </c>
      <c r="L203" s="162">
        <f ca="1">OFFSET(Cost_Ingredients!$N$103,D203,0)*J203</f>
        <v>0</v>
      </c>
      <c r="M203" s="162">
        <f ca="1">OFFSET(Cost_Ingredients!$O$103,D203,0)*J203</f>
        <v>0</v>
      </c>
      <c r="N203" s="163">
        <f ca="1">L203/Cost_Ingredients!$J$21</f>
        <v>0</v>
      </c>
      <c r="O203" s="163">
        <f ca="1">M203/Cost_Ingredients!$J$21</f>
        <v>0</v>
      </c>
      <c r="P203" s="151"/>
    </row>
    <row r="204" spans="3:16" s="23" customFormat="1" outlineLevel="1">
      <c r="D204" s="746">
        <v>1</v>
      </c>
      <c r="E204" s="747"/>
      <c r="F204" s="747"/>
      <c r="G204" s="748"/>
      <c r="H204" s="667"/>
      <c r="I204" s="667"/>
      <c r="J204" s="64">
        <v>0</v>
      </c>
      <c r="L204" s="162">
        <f ca="1">OFFSET(Cost_Ingredients!$N$103,D204,0)*J204</f>
        <v>0</v>
      </c>
      <c r="M204" s="162">
        <f ca="1">OFFSET(Cost_Ingredients!$O$103,D204,0)*J204</f>
        <v>0</v>
      </c>
      <c r="N204" s="163">
        <f ca="1">L204/Cost_Ingredients!$J$21</f>
        <v>0</v>
      </c>
      <c r="O204" s="163">
        <f ca="1">M204/Cost_Ingredients!$J$21</f>
        <v>0</v>
      </c>
      <c r="P204" s="151"/>
    </row>
    <row r="205" spans="3:16" s="23" customFormat="1" outlineLevel="1">
      <c r="D205" s="746">
        <v>1</v>
      </c>
      <c r="E205" s="747"/>
      <c r="F205" s="747"/>
      <c r="G205" s="748"/>
      <c r="H205" s="667"/>
      <c r="I205" s="667"/>
      <c r="J205" s="64">
        <v>0</v>
      </c>
      <c r="L205" s="162">
        <f ca="1">OFFSET(Cost_Ingredients!$N$103,D205,0)*J205</f>
        <v>0</v>
      </c>
      <c r="M205" s="162">
        <f ca="1">OFFSET(Cost_Ingredients!$O$103,D205,0)*J205</f>
        <v>0</v>
      </c>
      <c r="N205" s="163">
        <f ca="1">L205/Cost_Ingredients!$J$21</f>
        <v>0</v>
      </c>
      <c r="O205" s="163">
        <f ca="1">M205/Cost_Ingredients!$J$21</f>
        <v>0</v>
      </c>
      <c r="P205" s="151"/>
    </row>
    <row r="206" spans="3:16" s="23" customFormat="1" outlineLevel="1">
      <c r="D206" s="746">
        <v>1</v>
      </c>
      <c r="E206" s="747"/>
      <c r="F206" s="747"/>
      <c r="G206" s="748"/>
      <c r="H206" s="667"/>
      <c r="I206" s="667"/>
      <c r="J206" s="64">
        <v>0</v>
      </c>
      <c r="L206" s="162">
        <f ca="1">OFFSET(Cost_Ingredients!$N$103,D206,0)*J206</f>
        <v>0</v>
      </c>
      <c r="M206" s="162">
        <f ca="1">OFFSET(Cost_Ingredients!$O$103,D206,0)*J206</f>
        <v>0</v>
      </c>
      <c r="N206" s="163">
        <f ca="1">L206/Cost_Ingredients!$J$21</f>
        <v>0</v>
      </c>
      <c r="O206" s="163">
        <f ca="1">M206/Cost_Ingredients!$J$21</f>
        <v>0</v>
      </c>
      <c r="P206" s="151"/>
    </row>
    <row r="207" spans="3:16" s="23" customFormat="1" outlineLevel="1">
      <c r="D207" s="746">
        <v>1</v>
      </c>
      <c r="E207" s="747"/>
      <c r="F207" s="747"/>
      <c r="G207" s="748"/>
      <c r="H207" s="667"/>
      <c r="I207" s="667"/>
      <c r="J207" s="64">
        <v>0</v>
      </c>
      <c r="L207" s="162">
        <f ca="1">OFFSET(Cost_Ingredients!$N$103,D207,0)*J207</f>
        <v>0</v>
      </c>
      <c r="M207" s="162">
        <f ca="1">OFFSET(Cost_Ingredients!$O$103,D207,0)*J207</f>
        <v>0</v>
      </c>
      <c r="N207" s="163">
        <f ca="1">L207/Cost_Ingredients!$J$21</f>
        <v>0</v>
      </c>
      <c r="O207" s="163">
        <f ca="1">M207/Cost_Ingredients!$J$21</f>
        <v>0</v>
      </c>
      <c r="P207" s="151"/>
    </row>
    <row r="208" spans="3:16" s="23" customFormat="1" outlineLevel="1">
      <c r="D208" s="746">
        <v>1</v>
      </c>
      <c r="E208" s="747"/>
      <c r="F208" s="747"/>
      <c r="G208" s="748"/>
      <c r="H208" s="667"/>
      <c r="I208" s="667"/>
      <c r="J208" s="64">
        <v>0</v>
      </c>
      <c r="L208" s="162">
        <f ca="1">OFFSET(Cost_Ingredients!$N$103,D208,0)*J208</f>
        <v>0</v>
      </c>
      <c r="M208" s="162">
        <f ca="1">OFFSET(Cost_Ingredients!$O$103,D208,0)*J208</f>
        <v>0</v>
      </c>
      <c r="N208" s="163">
        <f ca="1">L208/Cost_Ingredients!$J$21</f>
        <v>0</v>
      </c>
      <c r="O208" s="163">
        <f ca="1">M208/Cost_Ingredients!$J$21</f>
        <v>0</v>
      </c>
      <c r="P208" s="151"/>
    </row>
    <row r="209" spans="3:16" s="23" customFormat="1" outlineLevel="1">
      <c r="D209" s="746">
        <v>1</v>
      </c>
      <c r="E209" s="747"/>
      <c r="F209" s="747"/>
      <c r="G209" s="748"/>
      <c r="H209" s="667"/>
      <c r="I209" s="667"/>
      <c r="J209" s="64">
        <v>0</v>
      </c>
      <c r="L209" s="162">
        <f ca="1">OFFSET(Cost_Ingredients!$N$103,D209,0)*J209</f>
        <v>0</v>
      </c>
      <c r="M209" s="162">
        <f ca="1">OFFSET(Cost_Ingredients!$O$103,D209,0)*J209</f>
        <v>0</v>
      </c>
      <c r="N209" s="163">
        <f ca="1">L209/Cost_Ingredients!$J$21</f>
        <v>0</v>
      </c>
      <c r="O209" s="163">
        <f ca="1">M209/Cost_Ingredients!$J$21</f>
        <v>0</v>
      </c>
      <c r="P209" s="151"/>
    </row>
    <row r="210" spans="3:16" s="23" customFormat="1" outlineLevel="1">
      <c r="D210" s="746">
        <v>1</v>
      </c>
      <c r="E210" s="747"/>
      <c r="F210" s="747"/>
      <c r="G210" s="748"/>
      <c r="H210" s="667"/>
      <c r="I210" s="667"/>
      <c r="J210" s="64">
        <v>0</v>
      </c>
      <c r="L210" s="162">
        <f ca="1">OFFSET(Cost_Ingredients!$N$103,D210,0)*J210</f>
        <v>0</v>
      </c>
      <c r="M210" s="162">
        <f ca="1">OFFSET(Cost_Ingredients!$O$103,D210,0)*J210</f>
        <v>0</v>
      </c>
      <c r="N210" s="163">
        <f ca="1">L210/Cost_Ingredients!$J$21</f>
        <v>0</v>
      </c>
      <c r="O210" s="163">
        <f ca="1">M210/Cost_Ingredients!$J$21</f>
        <v>0</v>
      </c>
      <c r="P210" s="151"/>
    </row>
    <row r="211" spans="3:16" s="23" customFormat="1" outlineLevel="1">
      <c r="D211" s="746">
        <v>1</v>
      </c>
      <c r="E211" s="747"/>
      <c r="F211" s="747"/>
      <c r="G211" s="748"/>
      <c r="H211" s="667"/>
      <c r="I211" s="667"/>
      <c r="J211" s="64">
        <v>0</v>
      </c>
      <c r="L211" s="162">
        <f ca="1">OFFSET(Cost_Ingredients!$N$103,D211,0)*J211</f>
        <v>0</v>
      </c>
      <c r="M211" s="162">
        <f ca="1">OFFSET(Cost_Ingredients!$O$103,D211,0)*J211</f>
        <v>0</v>
      </c>
      <c r="N211" s="163">
        <f ca="1">L211/Cost_Ingredients!$J$21</f>
        <v>0</v>
      </c>
      <c r="O211" s="163">
        <f ca="1">M211/Cost_Ingredients!$J$21</f>
        <v>0</v>
      </c>
      <c r="P211" s="151"/>
    </row>
    <row r="212" spans="3:16" s="23" customFormat="1" outlineLevel="1">
      <c r="D212" s="746">
        <v>1</v>
      </c>
      <c r="E212" s="747"/>
      <c r="F212" s="747"/>
      <c r="G212" s="748"/>
      <c r="H212" s="667"/>
      <c r="I212" s="667"/>
      <c r="J212" s="64">
        <v>0</v>
      </c>
      <c r="L212" s="162">
        <f ca="1">OFFSET(Cost_Ingredients!$N$103,D212,0)*J212</f>
        <v>0</v>
      </c>
      <c r="M212" s="162">
        <f ca="1">OFFSET(Cost_Ingredients!$O$103,D212,0)*J212</f>
        <v>0</v>
      </c>
      <c r="N212" s="163">
        <f ca="1">L212/Cost_Ingredients!$J$21</f>
        <v>0</v>
      </c>
      <c r="O212" s="163">
        <f ca="1">M212/Cost_Ingredients!$J$21</f>
        <v>0</v>
      </c>
      <c r="P212" s="151"/>
    </row>
    <row r="213" spans="3:16" s="23" customFormat="1" outlineLevel="1">
      <c r="D213" s="746">
        <v>1</v>
      </c>
      <c r="E213" s="747"/>
      <c r="F213" s="747"/>
      <c r="G213" s="748"/>
      <c r="H213" s="667"/>
      <c r="I213" s="667"/>
      <c r="J213" s="64">
        <v>0</v>
      </c>
      <c r="L213" s="162">
        <f ca="1">OFFSET(Cost_Ingredients!$N$103,D213,0)*J213</f>
        <v>0</v>
      </c>
      <c r="M213" s="162">
        <f ca="1">OFFSET(Cost_Ingredients!$O$103,D213,0)*J213</f>
        <v>0</v>
      </c>
      <c r="N213" s="163">
        <f ca="1">L213/Cost_Ingredients!$J$21</f>
        <v>0</v>
      </c>
      <c r="O213" s="163">
        <f ca="1">M213/Cost_Ingredients!$J$21</f>
        <v>0</v>
      </c>
      <c r="P213" s="151"/>
    </row>
    <row r="214" spans="3:16" s="23" customFormat="1" outlineLevel="1">
      <c r="D214" s="746">
        <v>1</v>
      </c>
      <c r="E214" s="747"/>
      <c r="F214" s="747"/>
      <c r="G214" s="748"/>
      <c r="H214" s="667"/>
      <c r="I214" s="667"/>
      <c r="J214" s="64">
        <v>0</v>
      </c>
      <c r="L214" s="162">
        <f ca="1">OFFSET(Cost_Ingredients!$N$103,D214,0)*J214</f>
        <v>0</v>
      </c>
      <c r="M214" s="162">
        <f ca="1">OFFSET(Cost_Ingredients!$O$103,D214,0)*J214</f>
        <v>0</v>
      </c>
      <c r="N214" s="163">
        <f ca="1">L214/Cost_Ingredients!$J$21</f>
        <v>0</v>
      </c>
      <c r="O214" s="163">
        <f ca="1">M214/Cost_Ingredients!$J$21</f>
        <v>0</v>
      </c>
      <c r="P214" s="151"/>
    </row>
    <row r="215" spans="3:16" s="23" customFormat="1" outlineLevel="1">
      <c r="D215" s="746">
        <v>1</v>
      </c>
      <c r="E215" s="747"/>
      <c r="F215" s="747"/>
      <c r="G215" s="748"/>
      <c r="H215" s="745"/>
      <c r="I215" s="745"/>
      <c r="J215" s="173">
        <v>0</v>
      </c>
      <c r="L215" s="162">
        <f ca="1">OFFSET(Cost_Ingredients!$N$103,D215,0)*J215</f>
        <v>0</v>
      </c>
      <c r="M215" s="162">
        <f ca="1">OFFSET(Cost_Ingredients!$O$103,D215,0)*J215</f>
        <v>0</v>
      </c>
      <c r="N215" s="163">
        <f ca="1">L215/Cost_Ingredients!$J$21</f>
        <v>0</v>
      </c>
      <c r="O215" s="163">
        <f ca="1">M215/Cost_Ingredients!$J$21</f>
        <v>0</v>
      </c>
      <c r="P215" s="172"/>
    </row>
    <row r="216" spans="3:16" s="23" customFormat="1">
      <c r="D216" s="754" t="str">
        <f>"Subtotal - "&amp;C199</f>
        <v>Subtotal - Allowances</v>
      </c>
      <c r="E216" s="755"/>
      <c r="F216" s="755"/>
      <c r="G216" s="755"/>
      <c r="H216" s="156"/>
      <c r="I216" s="156"/>
      <c r="J216" s="69"/>
      <c r="L216" s="255">
        <f ca="1">SUM(L201:L215)</f>
        <v>11000</v>
      </c>
      <c r="M216" s="255">
        <f ca="1">SUM(M201:M215)</f>
        <v>11000</v>
      </c>
      <c r="N216" s="258">
        <f ca="1">SUM(N201:N215)</f>
        <v>73.333333333333329</v>
      </c>
      <c r="O216" s="258">
        <f ca="1">SUM(O201:O215)</f>
        <v>73.333333333333329</v>
      </c>
      <c r="P216" s="156"/>
    </row>
    <row r="218" spans="3:16">
      <c r="C218" s="160" t="str">
        <f>FLU_LU!$D$280</f>
        <v>Supplies &amp; Materials</v>
      </c>
    </row>
    <row r="219" spans="3:16" ht="28.8" outlineLevel="1">
      <c r="D219" s="733" t="s">
        <v>100</v>
      </c>
      <c r="E219" s="733"/>
      <c r="F219" s="733"/>
      <c r="G219" s="733"/>
      <c r="H219" s="142" t="s">
        <v>274</v>
      </c>
      <c r="I219" s="72" t="s">
        <v>275</v>
      </c>
      <c r="J219" s="152" t="s">
        <v>67</v>
      </c>
      <c r="L219" s="28" t="str">
        <f>"Financial Price ("&amp;FLU_LU!$D$79&amp;")"</f>
        <v>Financial Price (GOZ)</v>
      </c>
      <c r="M219" s="28" t="str">
        <f>"Economic Price ("&amp;FLU_LU!$D$79&amp;")"</f>
        <v>Economic Price (GOZ)</v>
      </c>
      <c r="N219" s="28" t="str">
        <f>"Financial Price ("&amp;FLU_LU!$D$78&amp;")"</f>
        <v>Financial Price (USD)</v>
      </c>
      <c r="O219" s="28" t="str">
        <f>"Economic Price ("&amp;FLU_LU!$D$78&amp;")"</f>
        <v>Economic Price (USD)</v>
      </c>
      <c r="P219" s="152" t="s">
        <v>68</v>
      </c>
    </row>
    <row r="220" spans="3:16" s="23" customFormat="1" outlineLevel="1">
      <c r="D220" s="746">
        <v>5</v>
      </c>
      <c r="E220" s="747"/>
      <c r="F220" s="747"/>
      <c r="G220" s="748"/>
      <c r="H220" s="151"/>
      <c r="I220" s="159" t="str">
        <f ca="1">OFFSET(Cost_Ingredients!$M$117,D220,0)</f>
        <v>1 package</v>
      </c>
      <c r="J220" s="64"/>
      <c r="L220" s="162">
        <f ca="1">OFFSET(Cost_Ingredients!$N$117,D220,0)*J220</f>
        <v>0</v>
      </c>
      <c r="M220" s="162">
        <f ca="1">OFFSET(Cost_Ingredients!$O$117,D220,0)*J220</f>
        <v>0</v>
      </c>
      <c r="N220" s="163">
        <f ca="1">L220/Cost_Ingredients!$J$21</f>
        <v>0</v>
      </c>
      <c r="O220" s="163">
        <f ca="1">M220/Cost_Ingredients!$J$21</f>
        <v>0</v>
      </c>
      <c r="P220" s="151" t="s">
        <v>495</v>
      </c>
    </row>
    <row r="221" spans="3:16" s="23" customFormat="1" outlineLevel="1">
      <c r="D221" s="746">
        <v>1</v>
      </c>
      <c r="E221" s="747"/>
      <c r="F221" s="747"/>
      <c r="G221" s="748"/>
      <c r="H221" s="151"/>
      <c r="I221" s="159">
        <f ca="1">OFFSET(Cost_Ingredients!$M$117,D221,0)</f>
        <v>0</v>
      </c>
      <c r="J221" s="64">
        <v>0</v>
      </c>
      <c r="L221" s="162">
        <f ca="1">OFFSET(Cost_Ingredients!$N$117,D221,0)*J221</f>
        <v>0</v>
      </c>
      <c r="M221" s="162">
        <f ca="1">OFFSET(Cost_Ingredients!$O$117,D221,0)*J221</f>
        <v>0</v>
      </c>
      <c r="N221" s="163">
        <f ca="1">L221/Cost_Ingredients!$J$21</f>
        <v>0</v>
      </c>
      <c r="O221" s="163">
        <f ca="1">M221/Cost_Ingredients!$J$21</f>
        <v>0</v>
      </c>
      <c r="P221" s="151"/>
    </row>
    <row r="222" spans="3:16" s="23" customFormat="1" outlineLevel="1">
      <c r="D222" s="746">
        <v>1</v>
      </c>
      <c r="E222" s="747"/>
      <c r="F222" s="747"/>
      <c r="G222" s="748"/>
      <c r="H222" s="151"/>
      <c r="I222" s="159">
        <f ca="1">OFFSET(Cost_Ingredients!$M$117,D222,0)</f>
        <v>0</v>
      </c>
      <c r="J222" s="64">
        <v>0</v>
      </c>
      <c r="L222" s="162">
        <f ca="1">OFFSET(Cost_Ingredients!$N$117,D222,0)*J222</f>
        <v>0</v>
      </c>
      <c r="M222" s="162">
        <f ca="1">OFFSET(Cost_Ingredients!$O$117,D222,0)*J222</f>
        <v>0</v>
      </c>
      <c r="N222" s="163">
        <f ca="1">L222/Cost_Ingredients!$J$21</f>
        <v>0</v>
      </c>
      <c r="O222" s="163">
        <f ca="1">M222/Cost_Ingredients!$J$21</f>
        <v>0</v>
      </c>
      <c r="P222" s="151"/>
    </row>
    <row r="223" spans="3:16" s="23" customFormat="1" outlineLevel="1">
      <c r="D223" s="746">
        <v>1</v>
      </c>
      <c r="E223" s="747"/>
      <c r="F223" s="747"/>
      <c r="G223" s="748"/>
      <c r="H223" s="151"/>
      <c r="I223" s="159">
        <f ca="1">OFFSET(Cost_Ingredients!$M$117,D223,0)</f>
        <v>0</v>
      </c>
      <c r="J223" s="64">
        <v>0</v>
      </c>
      <c r="L223" s="162">
        <f ca="1">OFFSET(Cost_Ingredients!$N$117,D223,0)*J223</f>
        <v>0</v>
      </c>
      <c r="M223" s="162">
        <f ca="1">OFFSET(Cost_Ingredients!$O$117,D223,0)*J223</f>
        <v>0</v>
      </c>
      <c r="N223" s="163">
        <f ca="1">L223/Cost_Ingredients!$J$21</f>
        <v>0</v>
      </c>
      <c r="O223" s="163">
        <f ca="1">M223/Cost_Ingredients!$J$21</f>
        <v>0</v>
      </c>
      <c r="P223" s="151"/>
    </row>
    <row r="224" spans="3:16" s="23" customFormat="1" outlineLevel="1">
      <c r="D224" s="746">
        <v>1</v>
      </c>
      <c r="E224" s="747"/>
      <c r="F224" s="747"/>
      <c r="G224" s="748"/>
      <c r="H224" s="151"/>
      <c r="I224" s="159">
        <f ca="1">OFFSET(Cost_Ingredients!$M$117,D224,0)</f>
        <v>0</v>
      </c>
      <c r="J224" s="64">
        <v>0</v>
      </c>
      <c r="L224" s="162">
        <f ca="1">OFFSET(Cost_Ingredients!$N$117,D224,0)*J224</f>
        <v>0</v>
      </c>
      <c r="M224" s="162">
        <f ca="1">OFFSET(Cost_Ingredients!$O$117,D224,0)*J224</f>
        <v>0</v>
      </c>
      <c r="N224" s="163">
        <f ca="1">L224/Cost_Ingredients!$J$21</f>
        <v>0</v>
      </c>
      <c r="O224" s="163">
        <f ca="1">M224/Cost_Ingredients!$J$21</f>
        <v>0</v>
      </c>
      <c r="P224" s="151"/>
    </row>
    <row r="225" spans="3:16" s="23" customFormat="1" outlineLevel="1">
      <c r="D225" s="746">
        <v>1</v>
      </c>
      <c r="E225" s="747"/>
      <c r="F225" s="747"/>
      <c r="G225" s="748"/>
      <c r="H225" s="151"/>
      <c r="I225" s="159">
        <f ca="1">OFFSET(Cost_Ingredients!$M$117,D225,0)</f>
        <v>0</v>
      </c>
      <c r="J225" s="64">
        <v>0</v>
      </c>
      <c r="L225" s="162">
        <f ca="1">OFFSET(Cost_Ingredients!$N$117,D225,0)*J225</f>
        <v>0</v>
      </c>
      <c r="M225" s="162">
        <f ca="1">OFFSET(Cost_Ingredients!$O$117,D225,0)*J225</f>
        <v>0</v>
      </c>
      <c r="N225" s="163">
        <f ca="1">L225/Cost_Ingredients!$J$21</f>
        <v>0</v>
      </c>
      <c r="O225" s="163">
        <f ca="1">M225/Cost_Ingredients!$J$21</f>
        <v>0</v>
      </c>
      <c r="P225" s="151"/>
    </row>
    <row r="226" spans="3:16" s="23" customFormat="1" outlineLevel="1">
      <c r="D226" s="746">
        <v>1</v>
      </c>
      <c r="E226" s="747"/>
      <c r="F226" s="747"/>
      <c r="G226" s="748"/>
      <c r="H226" s="151"/>
      <c r="I226" s="159">
        <f ca="1">OFFSET(Cost_Ingredients!$M$117,D226,0)</f>
        <v>0</v>
      </c>
      <c r="J226" s="64">
        <v>0</v>
      </c>
      <c r="L226" s="162">
        <f ca="1">OFFSET(Cost_Ingredients!$N$117,D226,0)*J226</f>
        <v>0</v>
      </c>
      <c r="M226" s="162">
        <f ca="1">OFFSET(Cost_Ingredients!$O$117,D226,0)*J226</f>
        <v>0</v>
      </c>
      <c r="N226" s="163">
        <f ca="1">L226/Cost_Ingredients!$J$21</f>
        <v>0</v>
      </c>
      <c r="O226" s="163">
        <f ca="1">M226/Cost_Ingredients!$J$21</f>
        <v>0</v>
      </c>
      <c r="P226" s="151"/>
    </row>
    <row r="227" spans="3:16" s="23" customFormat="1" outlineLevel="1">
      <c r="D227" s="746">
        <v>1</v>
      </c>
      <c r="E227" s="747"/>
      <c r="F227" s="747"/>
      <c r="G227" s="748"/>
      <c r="H227" s="151"/>
      <c r="I227" s="159">
        <f ca="1">OFFSET(Cost_Ingredients!$M$117,D227,0)</f>
        <v>0</v>
      </c>
      <c r="J227" s="64">
        <v>0</v>
      </c>
      <c r="L227" s="162">
        <f ca="1">OFFSET(Cost_Ingredients!$N$117,D227,0)*J227</f>
        <v>0</v>
      </c>
      <c r="M227" s="162">
        <f ca="1">OFFSET(Cost_Ingredients!$O$117,D227,0)*J227</f>
        <v>0</v>
      </c>
      <c r="N227" s="163">
        <f ca="1">L227/Cost_Ingredients!$J$21</f>
        <v>0</v>
      </c>
      <c r="O227" s="163">
        <f ca="1">M227/Cost_Ingredients!$J$21</f>
        <v>0</v>
      </c>
      <c r="P227" s="151"/>
    </row>
    <row r="228" spans="3:16" s="23" customFormat="1" outlineLevel="1">
      <c r="D228" s="746">
        <v>1</v>
      </c>
      <c r="E228" s="747"/>
      <c r="F228" s="747"/>
      <c r="G228" s="748"/>
      <c r="H228" s="151"/>
      <c r="I228" s="159">
        <f ca="1">OFFSET(Cost_Ingredients!$M$117,D228,0)</f>
        <v>0</v>
      </c>
      <c r="J228" s="64">
        <v>0</v>
      </c>
      <c r="L228" s="162">
        <f ca="1">OFFSET(Cost_Ingredients!$N$117,D228,0)*J228</f>
        <v>0</v>
      </c>
      <c r="M228" s="162">
        <f ca="1">OFFSET(Cost_Ingredients!$O$117,D228,0)*J228</f>
        <v>0</v>
      </c>
      <c r="N228" s="163">
        <f ca="1">L228/Cost_Ingredients!$J$21</f>
        <v>0</v>
      </c>
      <c r="O228" s="163">
        <f ca="1">M228/Cost_Ingredients!$J$21</f>
        <v>0</v>
      </c>
      <c r="P228" s="151"/>
    </row>
    <row r="229" spans="3:16" s="23" customFormat="1" outlineLevel="1">
      <c r="D229" s="746">
        <v>1</v>
      </c>
      <c r="E229" s="747"/>
      <c r="F229" s="747"/>
      <c r="G229" s="748"/>
      <c r="H229" s="151"/>
      <c r="I229" s="159">
        <f ca="1">OFFSET(Cost_Ingredients!$M$117,D229,0)</f>
        <v>0</v>
      </c>
      <c r="J229" s="64">
        <v>0</v>
      </c>
      <c r="L229" s="162">
        <f ca="1">OFFSET(Cost_Ingredients!$N$117,D229,0)*J229</f>
        <v>0</v>
      </c>
      <c r="M229" s="162">
        <f ca="1">OFFSET(Cost_Ingredients!$O$117,D229,0)*J229</f>
        <v>0</v>
      </c>
      <c r="N229" s="163">
        <f ca="1">L229/Cost_Ingredients!$J$21</f>
        <v>0</v>
      </c>
      <c r="O229" s="163">
        <f ca="1">M229/Cost_Ingredients!$J$21</f>
        <v>0</v>
      </c>
      <c r="P229" s="151"/>
    </row>
    <row r="230" spans="3:16" s="23" customFormat="1" outlineLevel="1">
      <c r="D230" s="746">
        <v>1</v>
      </c>
      <c r="E230" s="747"/>
      <c r="F230" s="747"/>
      <c r="G230" s="748"/>
      <c r="H230" s="151"/>
      <c r="I230" s="159">
        <f ca="1">OFFSET(Cost_Ingredients!$M$117,D230,0)</f>
        <v>0</v>
      </c>
      <c r="J230" s="64">
        <v>0</v>
      </c>
      <c r="L230" s="162">
        <f ca="1">OFFSET(Cost_Ingredients!$N$117,D230,0)*J230</f>
        <v>0</v>
      </c>
      <c r="M230" s="162">
        <f ca="1">OFFSET(Cost_Ingredients!$O$117,D230,0)*J230</f>
        <v>0</v>
      </c>
      <c r="N230" s="163">
        <f ca="1">L230/Cost_Ingredients!$J$21</f>
        <v>0</v>
      </c>
      <c r="O230" s="163">
        <f ca="1">M230/Cost_Ingredients!$J$21</f>
        <v>0</v>
      </c>
      <c r="P230" s="151"/>
    </row>
    <row r="231" spans="3:16" s="23" customFormat="1" outlineLevel="1">
      <c r="D231" s="746">
        <v>1</v>
      </c>
      <c r="E231" s="747"/>
      <c r="F231" s="747"/>
      <c r="G231" s="748"/>
      <c r="H231" s="151"/>
      <c r="I231" s="159">
        <f ca="1">OFFSET(Cost_Ingredients!$M$117,D231,0)</f>
        <v>0</v>
      </c>
      <c r="J231" s="64">
        <v>0</v>
      </c>
      <c r="L231" s="162">
        <f ca="1">OFFSET(Cost_Ingredients!$N$117,D231,0)*J231</f>
        <v>0</v>
      </c>
      <c r="M231" s="162">
        <f ca="1">OFFSET(Cost_Ingredients!$O$117,D231,0)*J231</f>
        <v>0</v>
      </c>
      <c r="N231" s="163">
        <f ca="1">L231/Cost_Ingredients!$J$21</f>
        <v>0</v>
      </c>
      <c r="O231" s="163">
        <f ca="1">M231/Cost_Ingredients!$J$21</f>
        <v>0</v>
      </c>
      <c r="P231" s="151"/>
    </row>
    <row r="232" spans="3:16" s="23" customFormat="1" outlineLevel="1">
      <c r="D232" s="746">
        <v>1</v>
      </c>
      <c r="E232" s="747"/>
      <c r="F232" s="747"/>
      <c r="G232" s="748"/>
      <c r="H232" s="151"/>
      <c r="I232" s="159">
        <f ca="1">OFFSET(Cost_Ingredients!$M$117,D232,0)</f>
        <v>0</v>
      </c>
      <c r="J232" s="64">
        <v>0</v>
      </c>
      <c r="L232" s="162">
        <f ca="1">OFFSET(Cost_Ingredients!$N$117,D232,0)*J232</f>
        <v>0</v>
      </c>
      <c r="M232" s="162">
        <f ca="1">OFFSET(Cost_Ingredients!$O$117,D232,0)*J232</f>
        <v>0</v>
      </c>
      <c r="N232" s="163">
        <f ca="1">L232/Cost_Ingredients!$J$21</f>
        <v>0</v>
      </c>
      <c r="O232" s="163">
        <f ca="1">M232/Cost_Ingredients!$J$21</f>
        <v>0</v>
      </c>
      <c r="P232" s="151"/>
    </row>
    <row r="233" spans="3:16" s="23" customFormat="1" outlineLevel="1">
      <c r="D233" s="746">
        <v>1</v>
      </c>
      <c r="E233" s="747"/>
      <c r="F233" s="747"/>
      <c r="G233" s="748"/>
      <c r="H233" s="151"/>
      <c r="I233" s="159">
        <f ca="1">OFFSET(Cost_Ingredients!$M$117,D233,0)</f>
        <v>0</v>
      </c>
      <c r="J233" s="64">
        <v>0</v>
      </c>
      <c r="L233" s="162">
        <f ca="1">OFFSET(Cost_Ingredients!$N$117,D233,0)*J233</f>
        <v>0</v>
      </c>
      <c r="M233" s="162">
        <f ca="1">OFFSET(Cost_Ingredients!$O$117,D233,0)*J233</f>
        <v>0</v>
      </c>
      <c r="N233" s="163">
        <f ca="1">L233/Cost_Ingredients!$J$21</f>
        <v>0</v>
      </c>
      <c r="O233" s="163">
        <f ca="1">M233/Cost_Ingredients!$J$21</f>
        <v>0</v>
      </c>
      <c r="P233" s="151"/>
    </row>
    <row r="234" spans="3:16" s="23" customFormat="1" outlineLevel="1">
      <c r="D234" s="746">
        <v>1</v>
      </c>
      <c r="E234" s="747"/>
      <c r="F234" s="747"/>
      <c r="G234" s="748"/>
      <c r="H234" s="172"/>
      <c r="I234" s="159">
        <f ca="1">OFFSET(Cost_Ingredients!$M$117,D234,0)</f>
        <v>0</v>
      </c>
      <c r="J234" s="173">
        <v>0</v>
      </c>
      <c r="L234" s="162">
        <f ca="1">OFFSET(Cost_Ingredients!$N$117,D234,0)*J234</f>
        <v>0</v>
      </c>
      <c r="M234" s="162">
        <f ca="1">OFFSET(Cost_Ingredients!$O$117,D234,0)*J234</f>
        <v>0</v>
      </c>
      <c r="N234" s="163">
        <f ca="1">L234/Cost_Ingredients!$J$21</f>
        <v>0</v>
      </c>
      <c r="O234" s="163">
        <f ca="1">M234/Cost_Ingredients!$J$21</f>
        <v>0</v>
      </c>
      <c r="P234" s="172"/>
    </row>
    <row r="235" spans="3:16" s="23" customFormat="1">
      <c r="D235" s="754" t="str">
        <f>"Subtotal - "&amp;C218</f>
        <v>Subtotal - Supplies &amp; Materials</v>
      </c>
      <c r="E235" s="755"/>
      <c r="F235" s="755"/>
      <c r="G235" s="755"/>
      <c r="H235" s="156"/>
      <c r="I235" s="156"/>
      <c r="J235" s="69"/>
      <c r="L235" s="255">
        <f ca="1">SUM(L220:L234)</f>
        <v>0</v>
      </c>
      <c r="M235" s="255">
        <f ca="1">SUM(M220:M234)</f>
        <v>0</v>
      </c>
      <c r="N235" s="258">
        <f ca="1">SUM(N220:N234)</f>
        <v>0</v>
      </c>
      <c r="O235" s="258">
        <f ca="1">SUM(O220:O234)</f>
        <v>0</v>
      </c>
      <c r="P235" s="156"/>
    </row>
    <row r="237" spans="3:16">
      <c r="C237" s="160" t="str">
        <f>FLU_LU!$D$281</f>
        <v>Other Direct Costs (Recurrent)</v>
      </c>
    </row>
    <row r="238" spans="3:16" ht="28.8" outlineLevel="1">
      <c r="D238" s="733" t="s">
        <v>100</v>
      </c>
      <c r="E238" s="733"/>
      <c r="F238" s="733"/>
      <c r="G238" s="733"/>
      <c r="H238" s="142" t="s">
        <v>274</v>
      </c>
      <c r="I238" s="72" t="s">
        <v>275</v>
      </c>
      <c r="J238" s="152" t="s">
        <v>67</v>
      </c>
      <c r="L238" s="28" t="str">
        <f>"Financial Price ("&amp;FLU_LU!$D$79&amp;")"</f>
        <v>Financial Price (GOZ)</v>
      </c>
      <c r="M238" s="28" t="str">
        <f>"Economic Price ("&amp;FLU_LU!$D$79&amp;")"</f>
        <v>Economic Price (GOZ)</v>
      </c>
      <c r="N238" s="28" t="str">
        <f>"Financial Price ("&amp;FLU_LU!$D$78&amp;")"</f>
        <v>Financial Price (USD)</v>
      </c>
      <c r="O238" s="28" t="str">
        <f>"Economic Price ("&amp;FLU_LU!$D$78&amp;")"</f>
        <v>Economic Price (USD)</v>
      </c>
      <c r="P238" s="152" t="s">
        <v>68</v>
      </c>
    </row>
    <row r="239" spans="3:16" s="23" customFormat="1" outlineLevel="1">
      <c r="D239" s="746">
        <v>2</v>
      </c>
      <c r="E239" s="747"/>
      <c r="F239" s="747"/>
      <c r="G239" s="748"/>
      <c r="H239" s="151"/>
      <c r="I239" s="159" t="str">
        <f ca="1">OFFSET(Cost_Ingredients!$M$146,D239,0)</f>
        <v>litre</v>
      </c>
      <c r="J239" s="64"/>
      <c r="L239" s="162">
        <f ca="1">OFFSET(Cost_Ingredients!$N$146,D239,0)*J239</f>
        <v>0</v>
      </c>
      <c r="M239" s="162">
        <f ca="1">OFFSET(Cost_Ingredients!$O$146,D239,0)*J239</f>
        <v>0</v>
      </c>
      <c r="N239" s="163">
        <f ca="1">L239/Cost_Ingredients!$J$21</f>
        <v>0</v>
      </c>
      <c r="O239" s="163">
        <f ca="1">M239/Cost_Ingredients!$J$21</f>
        <v>0</v>
      </c>
      <c r="P239" s="151"/>
    </row>
    <row r="240" spans="3:16" s="23" customFormat="1" outlineLevel="1">
      <c r="D240" s="746">
        <v>1</v>
      </c>
      <c r="E240" s="747"/>
      <c r="F240" s="747"/>
      <c r="G240" s="748"/>
      <c r="H240" s="151"/>
      <c r="I240" s="159">
        <f ca="1">OFFSET(Cost_Ingredients!$M$146,D240,0)</f>
        <v>0</v>
      </c>
      <c r="J240" s="64">
        <v>0</v>
      </c>
      <c r="L240" s="162">
        <f ca="1">OFFSET(Cost_Ingredients!$N$146,D240,0)*J240</f>
        <v>0</v>
      </c>
      <c r="M240" s="162">
        <f ca="1">OFFSET(Cost_Ingredients!$O$146,D240,0)*J240</f>
        <v>0</v>
      </c>
      <c r="N240" s="163">
        <f ca="1">L240/Cost_Ingredients!$J$21</f>
        <v>0</v>
      </c>
      <c r="O240" s="163">
        <f ca="1">M240/Cost_Ingredients!$J$21</f>
        <v>0</v>
      </c>
      <c r="P240" s="151"/>
    </row>
    <row r="241" spans="3:16" s="23" customFormat="1" outlineLevel="1">
      <c r="D241" s="746">
        <v>1</v>
      </c>
      <c r="E241" s="747"/>
      <c r="F241" s="747"/>
      <c r="G241" s="748"/>
      <c r="H241" s="151"/>
      <c r="I241" s="159">
        <f ca="1">OFFSET(Cost_Ingredients!$M$146,D241,0)</f>
        <v>0</v>
      </c>
      <c r="J241" s="64">
        <v>0</v>
      </c>
      <c r="L241" s="162">
        <f ca="1">OFFSET(Cost_Ingredients!$N$146,D241,0)*J241</f>
        <v>0</v>
      </c>
      <c r="M241" s="162">
        <f ca="1">OFFSET(Cost_Ingredients!$O$146,D241,0)*J241</f>
        <v>0</v>
      </c>
      <c r="N241" s="163">
        <f ca="1">L241/Cost_Ingredients!$J$21</f>
        <v>0</v>
      </c>
      <c r="O241" s="163">
        <f ca="1">M241/Cost_Ingredients!$J$21</f>
        <v>0</v>
      </c>
      <c r="P241" s="151"/>
    </row>
    <row r="242" spans="3:16" s="23" customFormat="1" outlineLevel="1">
      <c r="D242" s="746">
        <v>1</v>
      </c>
      <c r="E242" s="747"/>
      <c r="F242" s="747"/>
      <c r="G242" s="748"/>
      <c r="H242" s="151"/>
      <c r="I242" s="159">
        <f ca="1">OFFSET(Cost_Ingredients!$M$146,D242,0)</f>
        <v>0</v>
      </c>
      <c r="J242" s="64">
        <v>0</v>
      </c>
      <c r="L242" s="162">
        <f ca="1">OFFSET(Cost_Ingredients!$N$146,D242,0)*J242</f>
        <v>0</v>
      </c>
      <c r="M242" s="162">
        <f ca="1">OFFSET(Cost_Ingredients!$O$146,D242,0)*J242</f>
        <v>0</v>
      </c>
      <c r="N242" s="163">
        <f ca="1">L242/Cost_Ingredients!$J$21</f>
        <v>0</v>
      </c>
      <c r="O242" s="163">
        <f ca="1">M242/Cost_Ingredients!$J$21</f>
        <v>0</v>
      </c>
      <c r="P242" s="151"/>
    </row>
    <row r="243" spans="3:16" s="23" customFormat="1" outlineLevel="1">
      <c r="D243" s="746">
        <v>1</v>
      </c>
      <c r="E243" s="747"/>
      <c r="F243" s="747"/>
      <c r="G243" s="748"/>
      <c r="H243" s="151"/>
      <c r="I243" s="159">
        <f ca="1">OFFSET(Cost_Ingredients!$M$146,D243,0)</f>
        <v>0</v>
      </c>
      <c r="J243" s="64">
        <v>0</v>
      </c>
      <c r="L243" s="162">
        <f ca="1">OFFSET(Cost_Ingredients!$N$146,D243,0)*J243</f>
        <v>0</v>
      </c>
      <c r="M243" s="162">
        <f ca="1">OFFSET(Cost_Ingredients!$O$146,D243,0)*J243</f>
        <v>0</v>
      </c>
      <c r="N243" s="163">
        <f ca="1">L243/Cost_Ingredients!$J$21</f>
        <v>0</v>
      </c>
      <c r="O243" s="163">
        <f ca="1">M243/Cost_Ingredients!$J$21</f>
        <v>0</v>
      </c>
      <c r="P243" s="151"/>
    </row>
    <row r="244" spans="3:16" s="23" customFormat="1" outlineLevel="1">
      <c r="D244" s="746">
        <v>1</v>
      </c>
      <c r="E244" s="747"/>
      <c r="F244" s="747"/>
      <c r="G244" s="748"/>
      <c r="H244" s="151"/>
      <c r="I244" s="159">
        <f ca="1">OFFSET(Cost_Ingredients!$M$146,D244,0)</f>
        <v>0</v>
      </c>
      <c r="J244" s="64">
        <v>0</v>
      </c>
      <c r="L244" s="162">
        <f ca="1">OFFSET(Cost_Ingredients!$N$146,D244,0)*J244</f>
        <v>0</v>
      </c>
      <c r="M244" s="162">
        <f ca="1">OFFSET(Cost_Ingredients!$O$146,D244,0)*J244</f>
        <v>0</v>
      </c>
      <c r="N244" s="163">
        <f ca="1">L244/Cost_Ingredients!$J$21</f>
        <v>0</v>
      </c>
      <c r="O244" s="163">
        <f ca="1">M244/Cost_Ingredients!$J$21</f>
        <v>0</v>
      </c>
      <c r="P244" s="151"/>
    </row>
    <row r="245" spans="3:16" s="23" customFormat="1" outlineLevel="1">
      <c r="D245" s="746">
        <v>1</v>
      </c>
      <c r="E245" s="747"/>
      <c r="F245" s="747"/>
      <c r="G245" s="748"/>
      <c r="H245" s="151"/>
      <c r="I245" s="159">
        <f ca="1">OFFSET(Cost_Ingredients!$M$146,D245,0)</f>
        <v>0</v>
      </c>
      <c r="J245" s="64">
        <v>0</v>
      </c>
      <c r="L245" s="162">
        <f ca="1">OFFSET(Cost_Ingredients!$N$146,D245,0)*J245</f>
        <v>0</v>
      </c>
      <c r="M245" s="162">
        <f ca="1">OFFSET(Cost_Ingredients!$O$146,D245,0)*J245</f>
        <v>0</v>
      </c>
      <c r="N245" s="163">
        <f ca="1">L245/Cost_Ingredients!$J$21</f>
        <v>0</v>
      </c>
      <c r="O245" s="163">
        <f ca="1">M245/Cost_Ingredients!$J$21</f>
        <v>0</v>
      </c>
      <c r="P245" s="151"/>
    </row>
    <row r="246" spans="3:16" s="23" customFormat="1" outlineLevel="1">
      <c r="D246" s="746">
        <v>1</v>
      </c>
      <c r="E246" s="747"/>
      <c r="F246" s="747"/>
      <c r="G246" s="748"/>
      <c r="H246" s="151"/>
      <c r="I246" s="159">
        <f ca="1">OFFSET(Cost_Ingredients!$M$146,D246,0)</f>
        <v>0</v>
      </c>
      <c r="J246" s="64">
        <v>0</v>
      </c>
      <c r="L246" s="162">
        <f ca="1">OFFSET(Cost_Ingredients!$N$146,D246,0)*J246</f>
        <v>0</v>
      </c>
      <c r="M246" s="162">
        <f ca="1">OFFSET(Cost_Ingredients!$O$146,D246,0)*J246</f>
        <v>0</v>
      </c>
      <c r="N246" s="163">
        <f ca="1">L246/Cost_Ingredients!$J$21</f>
        <v>0</v>
      </c>
      <c r="O246" s="163">
        <f ca="1">M246/Cost_Ingredients!$J$21</f>
        <v>0</v>
      </c>
      <c r="P246" s="151"/>
    </row>
    <row r="247" spans="3:16" s="23" customFormat="1" outlineLevel="1">
      <c r="D247" s="746">
        <v>1</v>
      </c>
      <c r="E247" s="747"/>
      <c r="F247" s="747"/>
      <c r="G247" s="748"/>
      <c r="H247" s="151"/>
      <c r="I247" s="159">
        <f ca="1">OFFSET(Cost_Ingredients!$M$146,D247,0)</f>
        <v>0</v>
      </c>
      <c r="J247" s="64">
        <v>0</v>
      </c>
      <c r="L247" s="162">
        <f ca="1">OFFSET(Cost_Ingredients!$N$146,D247,0)*J247</f>
        <v>0</v>
      </c>
      <c r="M247" s="162">
        <f ca="1">OFFSET(Cost_Ingredients!$O$146,D247,0)*J247</f>
        <v>0</v>
      </c>
      <c r="N247" s="163">
        <f ca="1">L247/Cost_Ingredients!$J$21</f>
        <v>0</v>
      </c>
      <c r="O247" s="163">
        <f ca="1">M247/Cost_Ingredients!$J$21</f>
        <v>0</v>
      </c>
      <c r="P247" s="151"/>
    </row>
    <row r="248" spans="3:16" s="23" customFormat="1" outlineLevel="1">
      <c r="D248" s="746">
        <v>1</v>
      </c>
      <c r="E248" s="747"/>
      <c r="F248" s="747"/>
      <c r="G248" s="748"/>
      <c r="H248" s="151"/>
      <c r="I248" s="159">
        <f ca="1">OFFSET(Cost_Ingredients!$M$146,D248,0)</f>
        <v>0</v>
      </c>
      <c r="J248" s="64">
        <v>0</v>
      </c>
      <c r="L248" s="162">
        <f ca="1">OFFSET(Cost_Ingredients!$N$146,D248,0)*J248</f>
        <v>0</v>
      </c>
      <c r="M248" s="162">
        <f ca="1">OFFSET(Cost_Ingredients!$O$146,D248,0)*J248</f>
        <v>0</v>
      </c>
      <c r="N248" s="163">
        <f ca="1">L248/Cost_Ingredients!$J$21</f>
        <v>0</v>
      </c>
      <c r="O248" s="163">
        <f ca="1">M248/Cost_Ingredients!$J$21</f>
        <v>0</v>
      </c>
      <c r="P248" s="151"/>
    </row>
    <row r="249" spans="3:16" s="23" customFormat="1" outlineLevel="1">
      <c r="D249" s="746">
        <v>1</v>
      </c>
      <c r="E249" s="747"/>
      <c r="F249" s="747"/>
      <c r="G249" s="748"/>
      <c r="H249" s="151"/>
      <c r="I249" s="159">
        <f ca="1">OFFSET(Cost_Ingredients!$M$146,D249,0)</f>
        <v>0</v>
      </c>
      <c r="J249" s="64">
        <v>0</v>
      </c>
      <c r="L249" s="162">
        <f ca="1">OFFSET(Cost_Ingredients!$N$146,D249,0)*J249</f>
        <v>0</v>
      </c>
      <c r="M249" s="162">
        <f ca="1">OFFSET(Cost_Ingredients!$O$146,D249,0)*J249</f>
        <v>0</v>
      </c>
      <c r="N249" s="163">
        <f ca="1">L249/Cost_Ingredients!$J$21</f>
        <v>0</v>
      </c>
      <c r="O249" s="163">
        <f ca="1">M249/Cost_Ingredients!$J$21</f>
        <v>0</v>
      </c>
      <c r="P249" s="151"/>
    </row>
    <row r="250" spans="3:16" s="23" customFormat="1" outlineLevel="1">
      <c r="D250" s="746">
        <v>1</v>
      </c>
      <c r="E250" s="747"/>
      <c r="F250" s="747"/>
      <c r="G250" s="748"/>
      <c r="H250" s="151"/>
      <c r="I250" s="159">
        <f ca="1">OFFSET(Cost_Ingredients!$M$146,D250,0)</f>
        <v>0</v>
      </c>
      <c r="J250" s="64">
        <v>0</v>
      </c>
      <c r="L250" s="162">
        <f ca="1">OFFSET(Cost_Ingredients!$N$146,D250,0)*J250</f>
        <v>0</v>
      </c>
      <c r="M250" s="162">
        <f ca="1">OFFSET(Cost_Ingredients!$O$146,D250,0)*J250</f>
        <v>0</v>
      </c>
      <c r="N250" s="163">
        <f ca="1">L250/Cost_Ingredients!$J$21</f>
        <v>0</v>
      </c>
      <c r="O250" s="163">
        <f ca="1">M250/Cost_Ingredients!$J$21</f>
        <v>0</v>
      </c>
      <c r="P250" s="151"/>
    </row>
    <row r="251" spans="3:16" s="23" customFormat="1" outlineLevel="1">
      <c r="D251" s="746">
        <v>1</v>
      </c>
      <c r="E251" s="747"/>
      <c r="F251" s="747"/>
      <c r="G251" s="748"/>
      <c r="H251" s="151"/>
      <c r="I251" s="159">
        <f ca="1">OFFSET(Cost_Ingredients!$M$146,D251,0)</f>
        <v>0</v>
      </c>
      <c r="J251" s="64">
        <v>0</v>
      </c>
      <c r="L251" s="162">
        <f ca="1">OFFSET(Cost_Ingredients!$N$146,D251,0)*J251</f>
        <v>0</v>
      </c>
      <c r="M251" s="162">
        <f ca="1">OFFSET(Cost_Ingredients!$O$146,D251,0)*J251</f>
        <v>0</v>
      </c>
      <c r="N251" s="163">
        <f ca="1">L251/Cost_Ingredients!$J$21</f>
        <v>0</v>
      </c>
      <c r="O251" s="163">
        <f ca="1">M251/Cost_Ingredients!$J$21</f>
        <v>0</v>
      </c>
      <c r="P251" s="151"/>
    </row>
    <row r="252" spans="3:16" s="23" customFormat="1" outlineLevel="1">
      <c r="D252" s="746">
        <v>1</v>
      </c>
      <c r="E252" s="747"/>
      <c r="F252" s="747"/>
      <c r="G252" s="748"/>
      <c r="H252" s="151"/>
      <c r="I252" s="159">
        <f ca="1">OFFSET(Cost_Ingredients!$M$146,D252,0)</f>
        <v>0</v>
      </c>
      <c r="J252" s="64">
        <v>0</v>
      </c>
      <c r="L252" s="162">
        <f ca="1">OFFSET(Cost_Ingredients!$N$146,D252,0)*J252</f>
        <v>0</v>
      </c>
      <c r="M252" s="162">
        <f ca="1">OFFSET(Cost_Ingredients!$O$146,D252,0)*J252</f>
        <v>0</v>
      </c>
      <c r="N252" s="163">
        <f ca="1">L252/Cost_Ingredients!$J$21</f>
        <v>0</v>
      </c>
      <c r="O252" s="163">
        <f ca="1">M252/Cost_Ingredients!$J$21</f>
        <v>0</v>
      </c>
      <c r="P252" s="151"/>
    </row>
    <row r="253" spans="3:16" s="23" customFormat="1" outlineLevel="1">
      <c r="D253" s="746">
        <v>1</v>
      </c>
      <c r="E253" s="747"/>
      <c r="F253" s="747"/>
      <c r="G253" s="748"/>
      <c r="H253" s="172"/>
      <c r="I253" s="159">
        <f ca="1">OFFSET(Cost_Ingredients!$M$146,D253,0)</f>
        <v>0</v>
      </c>
      <c r="J253" s="173">
        <v>0</v>
      </c>
      <c r="L253" s="162">
        <f ca="1">OFFSET(Cost_Ingredients!$N$146,D253,0)*J253</f>
        <v>0</v>
      </c>
      <c r="M253" s="162">
        <f ca="1">OFFSET(Cost_Ingredients!$O$146,D253,0)*J253</f>
        <v>0</v>
      </c>
      <c r="N253" s="163">
        <f ca="1">L253/Cost_Ingredients!$J$21</f>
        <v>0</v>
      </c>
      <c r="O253" s="163">
        <f ca="1">M253/Cost_Ingredients!$J$21</f>
        <v>0</v>
      </c>
      <c r="P253" s="172"/>
    </row>
    <row r="254" spans="3:16" s="23" customFormat="1">
      <c r="D254" s="754" t="str">
        <f t="shared" ref="D254" si="3">"Subtotal - "&amp;C237</f>
        <v>Subtotal - Other Direct Costs (Recurrent)</v>
      </c>
      <c r="E254" s="755"/>
      <c r="F254" s="755"/>
      <c r="G254" s="755"/>
      <c r="H254" s="156"/>
      <c r="I254" s="156"/>
      <c r="J254" s="69"/>
      <c r="L254" s="255">
        <f ca="1">SUM(L239:L253)</f>
        <v>0</v>
      </c>
      <c r="M254" s="255">
        <f ca="1">SUM(M239:M253)</f>
        <v>0</v>
      </c>
      <c r="N254" s="258">
        <f ca="1">SUM(N239:N253)</f>
        <v>0</v>
      </c>
      <c r="O254" s="258">
        <f ca="1">SUM(O239:O253)</f>
        <v>0</v>
      </c>
      <c r="P254" s="156"/>
    </row>
    <row r="256" spans="3:16" ht="15" thickBot="1">
      <c r="C256" s="70" t="str">
        <f>C176&amp;" -Cost per Activity"</f>
        <v>Detailed Cost Estimate: Service Delivery - Special Immunization Activity Category 3 -Cost per Activity</v>
      </c>
      <c r="L256" s="191">
        <f ca="1">SUM(L197,L216,L235,L254)</f>
        <v>11000</v>
      </c>
      <c r="M256" s="191">
        <f ca="1">SUM(M197,M216,M235,M254)</f>
        <v>11000</v>
      </c>
      <c r="N256" s="262">
        <f ca="1">SUM(N197,N216,N235,N254)</f>
        <v>73.333333333333329</v>
      </c>
      <c r="O256" s="262">
        <f ca="1">SUM(O197,O216,O235,O254)</f>
        <v>73.333333333333329</v>
      </c>
    </row>
    <row r="257" ht="15" thickTop="1"/>
  </sheetData>
  <mergeCells count="256">
    <mergeCell ref="D60:G60"/>
    <mergeCell ref="D111:G111"/>
    <mergeCell ref="D112:G112"/>
    <mergeCell ref="H11:P11"/>
    <mergeCell ref="H95:P95"/>
    <mergeCell ref="H177:P177"/>
    <mergeCell ref="H126:I126"/>
    <mergeCell ref="H127:I127"/>
    <mergeCell ref="H128:I128"/>
    <mergeCell ref="H129:I129"/>
    <mergeCell ref="H130:I130"/>
    <mergeCell ref="H131:I131"/>
    <mergeCell ref="H132:I132"/>
    <mergeCell ref="H118:I118"/>
    <mergeCell ref="H119:I119"/>
    <mergeCell ref="H120:I120"/>
    <mergeCell ref="H121:I121"/>
    <mergeCell ref="H122:I122"/>
    <mergeCell ref="H123:I123"/>
    <mergeCell ref="H124:I124"/>
    <mergeCell ref="H125:I125"/>
    <mergeCell ref="H117:I117"/>
    <mergeCell ref="H38:I38"/>
    <mergeCell ref="H39:I39"/>
    <mergeCell ref="D79:G79"/>
    <mergeCell ref="D80:G80"/>
    <mergeCell ref="D81:G81"/>
    <mergeCell ref="D82:G82"/>
    <mergeCell ref="D83:G83"/>
    <mergeCell ref="D125:G125"/>
    <mergeCell ref="D169:G169"/>
    <mergeCell ref="D161:G161"/>
    <mergeCell ref="D156:G156"/>
    <mergeCell ref="D155:G155"/>
    <mergeCell ref="D150:G150"/>
    <mergeCell ref="D151:G151"/>
    <mergeCell ref="D157:G157"/>
    <mergeCell ref="D158:G158"/>
    <mergeCell ref="D131:G131"/>
    <mergeCell ref="D126:G126"/>
    <mergeCell ref="D152:G152"/>
    <mergeCell ref="D127:G127"/>
    <mergeCell ref="D128:G128"/>
    <mergeCell ref="D129:G129"/>
    <mergeCell ref="D130:G130"/>
    <mergeCell ref="D110:G110"/>
    <mergeCell ref="D109:G109"/>
    <mergeCell ref="D85:G85"/>
    <mergeCell ref="D61:G61"/>
    <mergeCell ref="D113:G113"/>
    <mergeCell ref="D114:G114"/>
    <mergeCell ref="H48:I48"/>
    <mergeCell ref="H49:I49"/>
    <mergeCell ref="D15:G15"/>
    <mergeCell ref="D16:G16"/>
    <mergeCell ref="D17:G17"/>
    <mergeCell ref="D18:G18"/>
    <mergeCell ref="D19:G19"/>
    <mergeCell ref="D20:G20"/>
    <mergeCell ref="H34:I34"/>
    <mergeCell ref="D37:G37"/>
    <mergeCell ref="D38:G38"/>
    <mergeCell ref="D39:G39"/>
    <mergeCell ref="D31:G31"/>
    <mergeCell ref="D29:G29"/>
    <mergeCell ref="D28:G28"/>
    <mergeCell ref="D34:G34"/>
    <mergeCell ref="D21:G21"/>
    <mergeCell ref="D64:G64"/>
    <mergeCell ref="D84:G84"/>
    <mergeCell ref="H35:I35"/>
    <mergeCell ref="H40:I40"/>
    <mergeCell ref="H41:I41"/>
    <mergeCell ref="H42:I42"/>
    <mergeCell ref="H44:I44"/>
    <mergeCell ref="H43:I43"/>
    <mergeCell ref="H45:I45"/>
    <mergeCell ref="H46:I46"/>
    <mergeCell ref="H47:I47"/>
    <mergeCell ref="D45:G45"/>
    <mergeCell ref="B3:G3"/>
    <mergeCell ref="H37:I37"/>
    <mergeCell ref="H36:I36"/>
    <mergeCell ref="D53:G53"/>
    <mergeCell ref="D22:G22"/>
    <mergeCell ref="D23:G23"/>
    <mergeCell ref="D24:G24"/>
    <mergeCell ref="D25:G25"/>
    <mergeCell ref="D40:G40"/>
    <mergeCell ref="D41:G41"/>
    <mergeCell ref="D42:G42"/>
    <mergeCell ref="D44:G44"/>
    <mergeCell ref="D43:G43"/>
    <mergeCell ref="D30:G30"/>
    <mergeCell ref="D27:G27"/>
    <mergeCell ref="D26:G26"/>
    <mergeCell ref="D36:G36"/>
    <mergeCell ref="D49:G49"/>
    <mergeCell ref="D48:G48"/>
    <mergeCell ref="D47:G47"/>
    <mergeCell ref="D50:G50"/>
    <mergeCell ref="D46:G46"/>
    <mergeCell ref="D35:G35"/>
    <mergeCell ref="D69:G69"/>
    <mergeCell ref="D72:G72"/>
    <mergeCell ref="D73:G73"/>
    <mergeCell ref="D74:G74"/>
    <mergeCell ref="D106:G106"/>
    <mergeCell ref="D107:G107"/>
    <mergeCell ref="D108:G108"/>
    <mergeCell ref="D54:G54"/>
    <mergeCell ref="D55:G55"/>
    <mergeCell ref="D56:G56"/>
    <mergeCell ref="D57:G57"/>
    <mergeCell ref="D58:G58"/>
    <mergeCell ref="D59:G59"/>
    <mergeCell ref="D75:G75"/>
    <mergeCell ref="D65:G65"/>
    <mergeCell ref="D66:G66"/>
    <mergeCell ref="D67:G67"/>
    <mergeCell ref="D68:G68"/>
    <mergeCell ref="D98:G98"/>
    <mergeCell ref="D76:G76"/>
    <mergeCell ref="D77:G77"/>
    <mergeCell ref="D78:G78"/>
    <mergeCell ref="D62:G62"/>
    <mergeCell ref="D63:G63"/>
    <mergeCell ref="D87:G87"/>
    <mergeCell ref="D88:G88"/>
    <mergeCell ref="D86:G86"/>
    <mergeCell ref="D102:G102"/>
    <mergeCell ref="D101:G101"/>
    <mergeCell ref="D100:G100"/>
    <mergeCell ref="D99:G99"/>
    <mergeCell ref="D103:G103"/>
    <mergeCell ref="D104:G104"/>
    <mergeCell ref="D105:G105"/>
    <mergeCell ref="D123:G123"/>
    <mergeCell ref="D124:G124"/>
    <mergeCell ref="D117:G117"/>
    <mergeCell ref="D118:G118"/>
    <mergeCell ref="D142:G142"/>
    <mergeCell ref="D143:G143"/>
    <mergeCell ref="D144:G144"/>
    <mergeCell ref="D145:G145"/>
    <mergeCell ref="D132:G132"/>
    <mergeCell ref="D133:G133"/>
    <mergeCell ref="D136:G136"/>
    <mergeCell ref="D137:G137"/>
    <mergeCell ref="D119:G119"/>
    <mergeCell ref="D120:G120"/>
    <mergeCell ref="D121:G121"/>
    <mergeCell ref="D122:G122"/>
    <mergeCell ref="D138:G138"/>
    <mergeCell ref="D139:G139"/>
    <mergeCell ref="D140:G140"/>
    <mergeCell ref="D141:G141"/>
    <mergeCell ref="D181:G181"/>
    <mergeCell ref="D182:G182"/>
    <mergeCell ref="D183:G183"/>
    <mergeCell ref="D184:G184"/>
    <mergeCell ref="D185:G185"/>
    <mergeCell ref="D147:G147"/>
    <mergeCell ref="D146:G146"/>
    <mergeCell ref="D186:G186"/>
    <mergeCell ref="D187:G187"/>
    <mergeCell ref="D148:G148"/>
    <mergeCell ref="D149:G149"/>
    <mergeCell ref="D170:G170"/>
    <mergeCell ref="D171:G171"/>
    <mergeCell ref="D159:G159"/>
    <mergeCell ref="D160:G160"/>
    <mergeCell ref="D162:G162"/>
    <mergeCell ref="D163:G163"/>
    <mergeCell ref="D164:G164"/>
    <mergeCell ref="D165:G165"/>
    <mergeCell ref="D167:G167"/>
    <mergeCell ref="D168:G168"/>
    <mergeCell ref="D166:G166"/>
    <mergeCell ref="D188:G188"/>
    <mergeCell ref="D189:G189"/>
    <mergeCell ref="D190:G190"/>
    <mergeCell ref="D191:G191"/>
    <mergeCell ref="D192:G192"/>
    <mergeCell ref="D193:G193"/>
    <mergeCell ref="D194:G194"/>
    <mergeCell ref="D195:G195"/>
    <mergeCell ref="D210:G210"/>
    <mergeCell ref="D213:G213"/>
    <mergeCell ref="D196:G196"/>
    <mergeCell ref="D197:G197"/>
    <mergeCell ref="D200:G200"/>
    <mergeCell ref="H200:I200"/>
    <mergeCell ref="D201:G201"/>
    <mergeCell ref="D202:G202"/>
    <mergeCell ref="D203:G203"/>
    <mergeCell ref="D204:G204"/>
    <mergeCell ref="D205:G205"/>
    <mergeCell ref="D214:G214"/>
    <mergeCell ref="D215:G215"/>
    <mergeCell ref="D216:G216"/>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D206:G206"/>
    <mergeCell ref="D207:G207"/>
    <mergeCell ref="D208:G208"/>
    <mergeCell ref="D209:G209"/>
    <mergeCell ref="D211:G211"/>
    <mergeCell ref="D212:G212"/>
    <mergeCell ref="D219:G219"/>
    <mergeCell ref="D220:G220"/>
    <mergeCell ref="D221:G221"/>
    <mergeCell ref="D222:G222"/>
    <mergeCell ref="D223:G223"/>
    <mergeCell ref="D224:G224"/>
    <mergeCell ref="D225:G225"/>
    <mergeCell ref="D226:G226"/>
    <mergeCell ref="D227:G227"/>
    <mergeCell ref="D228:G228"/>
    <mergeCell ref="D229:G229"/>
    <mergeCell ref="D230:G230"/>
    <mergeCell ref="D231:G231"/>
    <mergeCell ref="D232:G232"/>
    <mergeCell ref="D233:G233"/>
    <mergeCell ref="D234:G234"/>
    <mergeCell ref="D235:G235"/>
    <mergeCell ref="D238:G238"/>
    <mergeCell ref="D248:G248"/>
    <mergeCell ref="D249:G249"/>
    <mergeCell ref="D250:G250"/>
    <mergeCell ref="D251:G251"/>
    <mergeCell ref="D252:G252"/>
    <mergeCell ref="D253:G253"/>
    <mergeCell ref="D254:G254"/>
    <mergeCell ref="D239:G239"/>
    <mergeCell ref="D240:G240"/>
    <mergeCell ref="D241:G241"/>
    <mergeCell ref="D242:G242"/>
    <mergeCell ref="D243:G243"/>
    <mergeCell ref="D244:G244"/>
    <mergeCell ref="D245:G245"/>
    <mergeCell ref="D246:G246"/>
    <mergeCell ref="D247:G247"/>
  </mergeCells>
  <dataValidations disablePrompts="1" count="7">
    <dataValidation type="decimal" operator="greaterThanOrEqual" allowBlank="1" showDropDown="1" showErrorMessage="1" errorTitle="Invalid Assumption" error="Assumption must be a value greater than or equal to zero." sqref="J239:J253 J220:J234 J182:J196 J156:J170 J137:J151 J99:J113 J73:J87 J54:J68 J16:J30" xr:uid="{00000000-0002-0000-1E00-000000000000}">
      <formula1>0</formula1>
    </dataValidation>
    <dataValidation type="custom" showErrorMessage="1" errorTitle="Invalid Assumption" error="Assumption must be a number." sqref="J201:J215 J118:J132 J35:J49" xr:uid="{00000000-0002-0000-1E00-000001000000}">
      <formula1>NOT(ISERROR(J35/1))</formula1>
    </dataValidation>
    <dataValidation type="whole" showDropDown="1" showErrorMessage="1" errorTitle="Drop Down Box Cell Link" error="The value in a drop down box cell link must be a whole number within the control's lookup range rows." sqref="D35:D49 D118:D132 D201:D215" xr:uid="{00000000-0002-0000-1E00-000002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54:D68 D137:D151 D220:D234" xr:uid="{00000000-0002-0000-1E00-000003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D73:D87 D156:D170 D239:D253" xr:uid="{00000000-0002-0000-1E00-000004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I182:I196 I99:I113 I16:I30" xr:uid="{00000000-0002-0000-1E00-000005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182:G196 D99:G113 D16:G30" xr:uid="{00000000-0002-0000-1E00-000006000000}">
      <formula1>1</formula1>
      <formula2>ROWS(LU_FLU_RECC_PRICES_GROUP_A)</formula2>
    </dataValidation>
  </dataValidations>
  <hyperlinks>
    <hyperlink ref="A4" location="$B$5" tooltip="Go to Top of Sheet" display="$B$5" xr:uid="{00000000-0004-0000-1E00-000000000000}"/>
    <hyperlink ref="C4" location="HL_Sheet_Main_34" tooltip="Go to Next Sheet" display="HL_Sheet_Main_34" xr:uid="{00000000-0004-0000-1E00-000001000000}"/>
    <hyperlink ref="B4" location="HL_Sheet_Main_19" tooltip="Go to Previous Sheet" display="HL_Sheet_Main_19" xr:uid="{00000000-0004-0000-1E00-000002000000}"/>
    <hyperlink ref="B3" location="HL_Home" tooltip="Go to Table of Contents" display="HL_Home" xr:uid="{00000000-0004-0000-1E00-000003000000}"/>
    <hyperlink ref="D4" location="HL_Err_Chk" tooltip="Go to Error Checks" display="HL_Err_Chk" xr:uid="{00000000-0004-0000-1E00-000004000000}"/>
    <hyperlink ref="E4" location="HL_Sens_Chk" tooltip="Go to Sensitivity Checks" display="HL_Sens_Chk" xr:uid="{00000000-0004-0000-1E00-000005000000}"/>
    <hyperlink ref="F4" location="HL_Alt_Chk" tooltip="Go to Alert Checks" display="HL_Alt_Chk" xr:uid="{00000000-0004-0000-1E00-000006000000}"/>
  </hyperlinks>
  <pageMargins left="0.4" right="0.4" top="0.6" bottom="1" header="0" footer="0.3"/>
  <pageSetup orientation="landscape" horizontalDpi="4294967292" verticalDpi="0" r:id="rId1"/>
  <headerFooter>
    <oddFooter>&amp;L&amp;F
&amp;A
Printed: &amp;T on &amp;D&amp;C&amp;",Bold"Sheet 3.1.h.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0313" r:id="rId4" name="bpmDropDownFLU782">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470314" r:id="rId5" name="bpmDropDownFLU783">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470315" r:id="rId6" name="bpmDropDownFLU784">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470316" r:id="rId7" name="bpmDropDownFLU785">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470317" r:id="rId8" name="bpmDropDownFLU786">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470318" r:id="rId9" name="bpmDropDownFLU787">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470319" r:id="rId10" name="bpmDropDownFLU788">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470320" r:id="rId11" name="bpmDropDownFLU789">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470322" r:id="rId12" name="bpmDropDownFLU791">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470323" r:id="rId13" name="bpmDropDownFLU792">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70324" r:id="rId14" name="bpmDropDownFLU793">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470325" r:id="rId15" name="bpmDropDownFLU794">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470326" r:id="rId16" name="bpmDropDownFLU795">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470327" r:id="rId17" name="bpmDropDownFLU796">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470328" r:id="rId18" name="bpmDropDownFLU797">
              <controlPr defaultSize="0" autoFill="0" autoPict="0">
                <anchor moveWithCells="1">
                  <from>
                    <xdr:col>3</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470329" r:id="rId19" name="bpmDropDownFLU798">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470330" r:id="rId20" name="bpmDropDownFLU855">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470331" r:id="rId21" name="bpmDropDownFLU856">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470332" r:id="rId22" name="bpmDropDownFLU857">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470333" r:id="rId23" name="bpmDropDownFLU858">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470334" r:id="rId24" name="bpmDropDownFLU859">
              <controlPr defaultSize="0" autoFill="0" autoPict="0">
                <anchor moveWithCells="1">
                  <from>
                    <xdr:col>3</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470335" r:id="rId25" name="bpmDropDownFLU860">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470336" r:id="rId26" name="bpmDropDownFLU861">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470338" r:id="rId27" name="bpmDropDownFLU863">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470339" r:id="rId28" name="bpmDropDownFLU864">
              <controlPr defaultSize="0" autoFill="0" autoPict="0">
                <anchor moveWithCells="1">
                  <from>
                    <xdr:col>3</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470340" r:id="rId29" name="bpmDropDownFLU865">
              <controlPr defaultSize="0" autoFill="0" autoPict="0">
                <anchor moveWithCells="1">
                  <from>
                    <xdr:col>3</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470341" r:id="rId30" name="bpmDropDownFLU866">
              <controlPr defaultSize="0" autoFill="0" autoPict="0">
                <anchor moveWithCells="1">
                  <from>
                    <xdr:col>3</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470342" r:id="rId31" name="bpmDropDownFLU867">
              <controlPr defaultSize="0" autoFill="0" autoPict="0">
                <anchor moveWithCells="1">
                  <from>
                    <xdr:col>3</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470343" r:id="rId32" name="bpmDropDownFLU868">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470344" r:id="rId33" name="bpmDropDownFLU869">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470345" r:id="rId34" name="bpmDropDownFLU870">
              <controlPr defaultSize="0" autoFill="0" autoPict="0">
                <anchor moveWithCells="1">
                  <from>
                    <xdr:col>3</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470346" r:id="rId35" name="bpmDropDownFLU871">
              <controlPr defaultSize="0" autoFill="0" autoPict="0">
                <anchor moveWithCells="1">
                  <from>
                    <xdr:col>3</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470347" r:id="rId36" name="bpmDropDownFLU872">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470348" r:id="rId37" name="bpmDropDownFLU873">
              <controlPr defaultSize="0" autoFill="0" autoPict="0">
                <anchor moveWithCells="1">
                  <from>
                    <xdr:col>3</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470349" r:id="rId38" name="bpmDropDownFLU874">
              <controlPr defaultSize="0" autoFill="0" autoPict="0">
                <anchor moveWithCells="1">
                  <from>
                    <xdr:col>3</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470350" r:id="rId39" name="bpmDropDownFLU875">
              <controlPr defaultSize="0" autoFill="0" autoPict="0">
                <anchor moveWithCells="1">
                  <from>
                    <xdr:col>3</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470351" r:id="rId40" name="bpmDropDownFLU876">
              <controlPr defaultSize="0" autoFill="0" autoPict="0">
                <anchor moveWithCells="1">
                  <from>
                    <xdr:col>3</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470352" r:id="rId41" name="bpmDropDownFLU877">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470354" r:id="rId42" name="bpmDropDownFLU879">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470355" r:id="rId43" name="bpmDropDownFLU880">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470356" r:id="rId44" name="bpmDropDownFLU881">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470357" r:id="rId45" name="bpmDropDownFLU882">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470358" r:id="rId46" name="bpmDropDownFLU908">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470359" r:id="rId47" name="bpmDropDownFLU909">
              <controlPr defaultSize="0" autoFill="0" autoPict="0">
                <anchor moveWithCells="1">
                  <from>
                    <xdr:col>3</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470360" r:id="rId48" name="bpmDropDownFLU910">
              <controlPr defaultSize="0" autoFill="0" autoPict="0">
                <anchor moveWithCells="1">
                  <from>
                    <xdr:col>3</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470361" r:id="rId49" name="bpmDropDownFLU911">
              <controlPr defaultSize="0" autoFill="0" autoPict="0">
                <anchor moveWithCells="1">
                  <from>
                    <xdr:col>3</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470362" r:id="rId50" name="bpmDropDownFLU912">
              <controlPr defaultSize="0" autoFill="0" autoPict="0">
                <anchor moveWithCells="1">
                  <from>
                    <xdr:col>3</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470363" r:id="rId51" name="bpmDropDownFLU913">
              <controlPr defaultSize="0" autoFill="0" autoPict="0">
                <anchor moveWithCells="1">
                  <from>
                    <xdr:col>3</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470364" r:id="rId52" name="bpmDropDownFLU914">
              <controlPr defaultSize="0" autoFill="0" autoPict="0">
                <anchor moveWithCells="1">
                  <from>
                    <xdr:col>3</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470365" r:id="rId53" name="bpmDropDownFLU915">
              <controlPr defaultSize="0" autoFill="0" autoPict="0">
                <anchor moveWithCells="1">
                  <from>
                    <xdr:col>3</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470366" r:id="rId54" name="bpmDropDownFLU916">
              <controlPr defaultSize="0" autoFill="0" autoPict="0">
                <anchor moveWithCells="1">
                  <from>
                    <xdr:col>3</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470367" r:id="rId55" name="bpmDropDownFLU917">
              <controlPr defaultSize="0" autoFill="0" autoPict="0">
                <anchor moveWithCells="1">
                  <from>
                    <xdr:col>3</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470368" r:id="rId56" name="bpmDropDownFLU918">
              <controlPr defaultSize="0" autoFill="0" autoPict="0">
                <anchor moveWithCells="1">
                  <from>
                    <xdr:col>3</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470370" r:id="rId57" name="bpmDropDownFLU920">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470371" r:id="rId58" name="bpmDropDownFLU921">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470372" r:id="rId59" name="bpmDropDownFLU922">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470373" r:id="rId60" name="bpmDropDownFLU923">
              <controlPr defaultSize="0" autoFill="0" autoPict="0">
                <anchor moveWithCells="1">
                  <from>
                    <xdr:col>3</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470374" r:id="rId61" name="bpmDropDownFLU924">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470375" r:id="rId62" name="bpmDropDownFLU925">
              <controlPr defaultSize="0" autoFill="0" autoPict="0">
                <anchor moveWithCells="1">
                  <from>
                    <xdr:col>3</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470376" r:id="rId63" name="bpmDropDownFLU926">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470441" r:id="rId64" name="bpmDropDownFLU1040">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470442" r:id="rId65" name="bpmDropDownFLU1041">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470443" r:id="rId66" name="bpmDropDownFLU1042">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70444" r:id="rId67" name="bpmDropDownFLU1048">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470445" r:id="rId68" name="bpmDropDownFLU1049">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470446" r:id="rId69" name="bpmDropDownFLU1050">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470447" r:id="rId70" name="bpmDropDownFLU1051">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470448" r:id="rId71" name="bpmDropDownFLU1052">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470450" r:id="rId72" name="bpmDropDownFLU1054">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470451" r:id="rId73" name="bpmDropDownFLU1055">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70452" r:id="rId74" name="bpmDropDownFLU1056">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70453" r:id="rId75" name="bpmDropDownFLU1057">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470454" r:id="rId76" name="bpmDropDownFLU1058">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470455" r:id="rId77" name="bpmDropDownFLU1059">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70456" r:id="rId78" name="bpmDropDownFLU1060">
              <controlPr defaultSize="0" autoFill="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470377" r:id="rId79" name="bpmDropDownFLU927">
              <controlPr defaultSize="0" autoFill="0" autoPict="0">
                <anchor moveWithCells="1">
                  <from>
                    <xdr:col>3</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470378" r:id="rId80" name="bpmDropDownFLU928">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470379" r:id="rId81" name="bpmDropDownFLU929">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470380" r:id="rId82" name="bpmDropDownFLU930">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470381" r:id="rId83" name="bpmDropDownFLU931">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470382" r:id="rId84" name="bpmDropDownFLU933">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470383" r:id="rId85" name="bpmDropDownFLU934">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470384" r:id="rId86" name="bpmDropDownFLU935">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470386" r:id="rId87" name="bpmDropDownFLU955">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470387" r:id="rId88" name="bpmDropDownFLU956">
              <controlPr defaultSize="0" autoFill="0" autoPict="0">
                <anchor moveWithCells="1">
                  <from>
                    <xdr:col>3</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470388" r:id="rId89" name="bpmDropDownFLU957">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470389" r:id="rId90" name="bpmDropDownFLU958">
              <controlPr defaultSize="0" autoFill="0" autoPict="0">
                <anchor moveWithCells="1">
                  <from>
                    <xdr:col>3</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470390" r:id="rId91" name="bpmDropDownFLU959">
              <controlPr defaultSize="0" autoFill="0" autoPict="0">
                <anchor moveWithCells="1">
                  <from>
                    <xdr:col>3</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470391" r:id="rId92" name="bpmDropDownFLU960">
              <controlPr defaultSize="0" autoFill="0" autoPict="0">
                <anchor moveWithCells="1">
                  <from>
                    <xdr:col>3</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470392" r:id="rId93" name="bpmDropDownFLU961">
              <controlPr defaultSize="0" autoFill="0" autoPict="0">
                <anchor moveWithCells="1">
                  <from>
                    <xdr:col>3</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470393" r:id="rId94" name="bpmDropDownFLU962">
              <controlPr defaultSize="0" autoFill="0" autoPict="0">
                <anchor moveWithCells="1">
                  <from>
                    <xdr:col>3</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470394" r:id="rId95" name="bpmDropDownFLU963">
              <controlPr defaultSize="0" autoFill="0" autoPict="0">
                <anchor moveWithCells="1">
                  <from>
                    <xdr:col>3</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470395" r:id="rId96" name="bpmDropDownFLU964">
              <controlPr defaultSize="0" autoFill="0" autoPict="0">
                <anchor moveWithCells="1">
                  <from>
                    <xdr:col>3</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470396" r:id="rId97" name="bpmDropDownFLU965">
              <controlPr defaultSize="0" autoFill="0" autoPict="0">
                <anchor moveWithCells="1">
                  <from>
                    <xdr:col>3</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470397" r:id="rId98" name="bpmDropDownFLU966">
              <controlPr defaultSize="0" autoFill="0" autoPict="0">
                <anchor moveWithCells="1">
                  <from>
                    <xdr:col>3</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470398" r:id="rId99" name="bpmDropDownFLU967">
              <controlPr defaultSize="0" autoFill="0" autoPict="0">
                <anchor moveWithCells="1">
                  <from>
                    <xdr:col>3</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470399" r:id="rId100" name="bpmDropDownFLU968">
              <controlPr defaultSize="0" autoFill="0" autoPict="0">
                <anchor moveWithCells="1">
                  <from>
                    <xdr:col>3</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470400" r:id="rId101" name="bpmDropDownFLU969">
              <controlPr defaultSize="0" autoFill="0" autoPict="0">
                <anchor moveWithCells="1">
                  <from>
                    <xdr:col>3</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470402" r:id="rId102" name="bpmDropDownFLU971">
              <controlPr defaultSize="0" autoFill="0" autoPict="0">
                <anchor moveWithCells="1">
                  <from>
                    <xdr:col>3</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470403" r:id="rId103" name="bpmDropDownFLU972">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470404" r:id="rId104" name="bpmDropDownFLU978">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470405" r:id="rId105" name="bpmDropDownFLU979">
              <controlPr defaultSize="0" autoFill="0" autoPict="0">
                <anchor moveWithCells="1">
                  <from>
                    <xdr:col>3</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470406" r:id="rId106" name="bpmDropDownFLU980">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470407" r:id="rId107" name="bpmDropDownFLU981">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470408" r:id="rId108" name="bpmDropDownFLU982">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470409" r:id="rId109" name="bpmDropDownFLU983">
              <controlPr defaultSize="0" autoFill="0" autoPict="0">
                <anchor moveWithCells="1">
                  <from>
                    <xdr:col>3</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470410" r:id="rId110" name="bpmDropDownFLU984">
              <controlPr defaultSize="0" autoFill="0" autoPict="0">
                <anchor moveWithCells="1">
                  <from>
                    <xdr:col>3</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470411" r:id="rId111" name="bpmDropDownFLU985">
              <controlPr defaultSize="0" autoFill="0" autoPict="0">
                <anchor moveWithCells="1">
                  <from>
                    <xdr:col>3</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470412" r:id="rId112" name="bpmDropDownFLU986">
              <controlPr defaultSize="0" autoFill="0" autoPict="0">
                <anchor moveWithCells="1">
                  <from>
                    <xdr:col>3</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470413" r:id="rId113" name="bpmDropDownFLU987">
              <controlPr defaultSize="0" autoFill="0" autoPict="0">
                <anchor moveWithCells="1">
                  <from>
                    <xdr:col>3</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470414" r:id="rId114" name="bpmDropDownFLU988">
              <controlPr defaultSize="0" autoFill="0" autoPict="0">
                <anchor moveWithCells="1">
                  <from>
                    <xdr:col>3</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470415" r:id="rId115" name="bpmDropDownFLU989">
              <controlPr defaultSize="0" autoFill="0" autoPict="0">
                <anchor moveWithCells="1">
                  <from>
                    <xdr:col>3</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470416" r:id="rId116" name="bpmDropDownFLU990">
              <controlPr defaultSize="0" autoFill="0" autoPict="0">
                <anchor moveWithCells="1">
                  <from>
                    <xdr:col>3</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470418" r:id="rId117" name="bpmDropDownFLU992">
              <controlPr defaultSize="0" autoFill="0" autoPict="0">
                <anchor moveWithCells="1">
                  <from>
                    <xdr:col>3</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470419" r:id="rId118" name="bpmDropDownFLU993">
              <controlPr defaultSize="0" autoFill="0" autoPict="0">
                <anchor moveWithCells="1">
                  <from>
                    <xdr:col>3</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470420" r:id="rId119" name="bpmDropDownFLU994">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470421" r:id="rId120" name="bpmDropDownFLU995">
              <controlPr defaultSize="0" autoFill="0" autoPict="0">
                <anchor moveWithCells="1">
                  <from>
                    <xdr:col>3</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470422" r:id="rId121" name="bpmDropDownFLU996">
              <controlPr defaultSize="0" autoFill="0" autoPict="0">
                <anchor moveWithCells="1">
                  <from>
                    <xdr:col>3</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470423" r:id="rId122" name="bpmDropDownFLU997">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470424" r:id="rId123" name="bpmDropDownFLU1023">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470425" r:id="rId124" name="bpmDropDownFLU1024">
              <controlPr defaultSize="0" autoFill="0" autoPict="0">
                <anchor moveWithCells="1">
                  <from>
                    <xdr:col>3</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470426" r:id="rId125" name="bpmDropDownFLU1025">
              <controlPr defaultSize="0" autoFill="0" autoPict="0">
                <anchor moveWithCells="1">
                  <from>
                    <xdr:col>3</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470427" r:id="rId126" name="bpmDropDownFLU1026">
              <controlPr defaultSize="0" autoFill="0" autoPict="0">
                <anchor moveWithCells="1">
                  <from>
                    <xdr:col>3</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470428" r:id="rId127" name="bpmDropDownFLU1027">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470429" r:id="rId128" name="bpmDropDownFLU1028">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470430" r:id="rId129" name="bpmDropDownFLU1029">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470431" r:id="rId130" name="bpmDropDownFLU1030">
              <controlPr defaultSize="0" autoFill="0" autoPict="0">
                <anchor moveWithCells="1">
                  <from>
                    <xdr:col>3</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470432" r:id="rId131" name="bpmDropDownFLU1031">
              <controlPr defaultSize="0" autoFill="0" autoPict="0">
                <anchor moveWithCells="1">
                  <from>
                    <xdr:col>3</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470434" r:id="rId132" name="bpmDropDownFLU1033">
              <controlPr defaultSize="0" autoFill="0" autoPict="0">
                <anchor moveWithCells="1">
                  <from>
                    <xdr:col>3</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470435" r:id="rId133" name="bpmDropDownFLU1034">
              <controlPr defaultSize="0" autoFill="0" autoPict="0">
                <anchor moveWithCells="1">
                  <from>
                    <xdr:col>3</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470436" r:id="rId134" name="bpmDropDownFLU1035">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470437" r:id="rId135" name="bpmDropDownFLU1036">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470438" r:id="rId136" name="bpmDropDownFLU1037">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470439" r:id="rId137" name="bpmDropDownFLU1038">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470440" r:id="rId138" name="bpmDropDownFLU1039">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470457" r:id="rId139" name="bpmDropDownFLU1061">
              <controlPr defaultSize="0" autoFill="0" autoPict="0">
                <anchor moveWithCells="1">
                  <from>
                    <xdr:col>8</xdr:col>
                    <xdr:colOff>0</xdr:colOff>
                    <xdr:row>98</xdr:row>
                    <xdr:rowOff>0</xdr:rowOff>
                  </from>
                  <to>
                    <xdr:col>9</xdr:col>
                    <xdr:colOff>0</xdr:colOff>
                    <xdr:row>99</xdr:row>
                    <xdr:rowOff>0</xdr:rowOff>
                  </to>
                </anchor>
              </controlPr>
            </control>
          </mc:Choice>
        </mc:AlternateContent>
        <mc:AlternateContent xmlns:mc="http://schemas.openxmlformats.org/markup-compatibility/2006">
          <mc:Choice Requires="x14">
            <control shapeId="470458" r:id="rId140" name="bpmDropDownFLU1062">
              <controlPr defaultSize="0" autoFill="0" autoPict="0">
                <anchor moveWithCells="1">
                  <from>
                    <xdr:col>8</xdr:col>
                    <xdr:colOff>0</xdr:colOff>
                    <xdr:row>99</xdr:row>
                    <xdr:rowOff>0</xdr:rowOff>
                  </from>
                  <to>
                    <xdr:col>9</xdr:col>
                    <xdr:colOff>0</xdr:colOff>
                    <xdr:row>100</xdr:row>
                    <xdr:rowOff>0</xdr:rowOff>
                  </to>
                </anchor>
              </controlPr>
            </control>
          </mc:Choice>
        </mc:AlternateContent>
        <mc:AlternateContent xmlns:mc="http://schemas.openxmlformats.org/markup-compatibility/2006">
          <mc:Choice Requires="x14">
            <control shapeId="470459" r:id="rId141" name="bpmDropDownFLU1063">
              <controlPr defaultSize="0" autoFill="0" autoPict="0">
                <anchor moveWithCells="1">
                  <from>
                    <xdr:col>8</xdr:col>
                    <xdr:colOff>0</xdr:colOff>
                    <xdr:row>100</xdr:row>
                    <xdr:rowOff>0</xdr:rowOff>
                  </from>
                  <to>
                    <xdr:col>9</xdr:col>
                    <xdr:colOff>0</xdr:colOff>
                    <xdr:row>101</xdr:row>
                    <xdr:rowOff>0</xdr:rowOff>
                  </to>
                </anchor>
              </controlPr>
            </control>
          </mc:Choice>
        </mc:AlternateContent>
        <mc:AlternateContent xmlns:mc="http://schemas.openxmlformats.org/markup-compatibility/2006">
          <mc:Choice Requires="x14">
            <control shapeId="470460" r:id="rId142" name="bpmDropDownFLU1064">
              <controlPr defaultSize="0" autoFill="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470461" r:id="rId143" name="bpmDropDownFLU1065">
              <controlPr defaultSize="0" autoFill="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470462" r:id="rId144" name="bpmDropDownFLU1066">
              <controlPr defaultSize="0" autoFill="0" autoPict="0">
                <anchor moveWithCells="1">
                  <from>
                    <xdr:col>8</xdr:col>
                    <xdr:colOff>0</xdr:colOff>
                    <xdr:row>103</xdr:row>
                    <xdr:rowOff>0</xdr:rowOff>
                  </from>
                  <to>
                    <xdr:col>9</xdr:col>
                    <xdr:colOff>0</xdr:colOff>
                    <xdr:row>104</xdr:row>
                    <xdr:rowOff>0</xdr:rowOff>
                  </to>
                </anchor>
              </controlPr>
            </control>
          </mc:Choice>
        </mc:AlternateContent>
        <mc:AlternateContent xmlns:mc="http://schemas.openxmlformats.org/markup-compatibility/2006">
          <mc:Choice Requires="x14">
            <control shapeId="470463" r:id="rId145" name="bpmDropDownFLU1067">
              <controlPr defaultSize="0" autoFill="0" autoPict="0">
                <anchor moveWithCells="1">
                  <from>
                    <xdr:col>8</xdr:col>
                    <xdr:colOff>0</xdr:colOff>
                    <xdr:row>104</xdr:row>
                    <xdr:rowOff>0</xdr:rowOff>
                  </from>
                  <to>
                    <xdr:col>9</xdr:col>
                    <xdr:colOff>0</xdr:colOff>
                    <xdr:row>105</xdr:row>
                    <xdr:rowOff>0</xdr:rowOff>
                  </to>
                </anchor>
              </controlPr>
            </control>
          </mc:Choice>
        </mc:AlternateContent>
        <mc:AlternateContent xmlns:mc="http://schemas.openxmlformats.org/markup-compatibility/2006">
          <mc:Choice Requires="x14">
            <control shapeId="470464" r:id="rId146" name="bpmDropDownFLU1093">
              <controlPr defaultSize="0" autoFill="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470466" r:id="rId147" name="bpmDropDownFLU1095">
              <controlPr defaultSize="0" autoFill="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470467" r:id="rId148" name="bpmDropDownFLU1096">
              <controlPr defaultSize="0" autoFill="0" autoPict="0">
                <anchor moveWithCells="1">
                  <from>
                    <xdr:col>8</xdr:col>
                    <xdr:colOff>0</xdr:colOff>
                    <xdr:row>107</xdr:row>
                    <xdr:rowOff>0</xdr:rowOff>
                  </from>
                  <to>
                    <xdr:col>9</xdr:col>
                    <xdr:colOff>0</xdr:colOff>
                    <xdr:row>108</xdr:row>
                    <xdr:rowOff>0</xdr:rowOff>
                  </to>
                </anchor>
              </controlPr>
            </control>
          </mc:Choice>
        </mc:AlternateContent>
        <mc:AlternateContent xmlns:mc="http://schemas.openxmlformats.org/markup-compatibility/2006">
          <mc:Choice Requires="x14">
            <control shapeId="470468" r:id="rId149" name="bpmDropDownFLU1097">
              <controlPr defaultSize="0" autoFill="0" autoPict="0">
                <anchor moveWithCells="1">
                  <from>
                    <xdr:col>8</xdr:col>
                    <xdr:colOff>0</xdr:colOff>
                    <xdr:row>108</xdr:row>
                    <xdr:rowOff>0</xdr:rowOff>
                  </from>
                  <to>
                    <xdr:col>9</xdr:col>
                    <xdr:colOff>0</xdr:colOff>
                    <xdr:row>109</xdr:row>
                    <xdr:rowOff>0</xdr:rowOff>
                  </to>
                </anchor>
              </controlPr>
            </control>
          </mc:Choice>
        </mc:AlternateContent>
        <mc:AlternateContent xmlns:mc="http://schemas.openxmlformats.org/markup-compatibility/2006">
          <mc:Choice Requires="x14">
            <control shapeId="470469" r:id="rId150" name="bpmDropDownFLU1098">
              <controlPr defaultSize="0" autoFill="0" autoPict="0">
                <anchor moveWithCells="1">
                  <from>
                    <xdr:col>8</xdr:col>
                    <xdr:colOff>0</xdr:colOff>
                    <xdr:row>109</xdr:row>
                    <xdr:rowOff>0</xdr:rowOff>
                  </from>
                  <to>
                    <xdr:col>9</xdr:col>
                    <xdr:colOff>0</xdr:colOff>
                    <xdr:row>110</xdr:row>
                    <xdr:rowOff>0</xdr:rowOff>
                  </to>
                </anchor>
              </controlPr>
            </control>
          </mc:Choice>
        </mc:AlternateContent>
        <mc:AlternateContent xmlns:mc="http://schemas.openxmlformats.org/markup-compatibility/2006">
          <mc:Choice Requires="x14">
            <control shapeId="470470" r:id="rId151" name="bpmDropDownFLU1099">
              <controlPr defaultSize="0" autoFill="0" autoPict="0">
                <anchor moveWithCells="1">
                  <from>
                    <xdr:col>8</xdr:col>
                    <xdr:colOff>0</xdr:colOff>
                    <xdr:row>110</xdr:row>
                    <xdr:rowOff>0</xdr:rowOff>
                  </from>
                  <to>
                    <xdr:col>9</xdr:col>
                    <xdr:colOff>0</xdr:colOff>
                    <xdr:row>111</xdr:row>
                    <xdr:rowOff>0</xdr:rowOff>
                  </to>
                </anchor>
              </controlPr>
            </control>
          </mc:Choice>
        </mc:AlternateContent>
        <mc:AlternateContent xmlns:mc="http://schemas.openxmlformats.org/markup-compatibility/2006">
          <mc:Choice Requires="x14">
            <control shapeId="470471" r:id="rId152" name="bpmDropDownFLU1100">
              <controlPr defaultSize="0" autoFill="0" autoPict="0">
                <anchor moveWithCells="1">
                  <from>
                    <xdr:col>8</xdr:col>
                    <xdr:colOff>0</xdr:colOff>
                    <xdr:row>111</xdr:row>
                    <xdr:rowOff>0</xdr:rowOff>
                  </from>
                  <to>
                    <xdr:col>9</xdr:col>
                    <xdr:colOff>0</xdr:colOff>
                    <xdr:row>112</xdr:row>
                    <xdr:rowOff>0</xdr:rowOff>
                  </to>
                </anchor>
              </controlPr>
            </control>
          </mc:Choice>
        </mc:AlternateContent>
        <mc:AlternateContent xmlns:mc="http://schemas.openxmlformats.org/markup-compatibility/2006">
          <mc:Choice Requires="x14">
            <control shapeId="470472" r:id="rId153" name="bpmDropDownFLU1101">
              <controlPr defaultSize="0" autoFill="0" autoPict="0">
                <anchor moveWithCells="1">
                  <from>
                    <xdr:col>8</xdr:col>
                    <xdr:colOff>0</xdr:colOff>
                    <xdr:row>112</xdr:row>
                    <xdr:rowOff>0</xdr:rowOff>
                  </from>
                  <to>
                    <xdr:col>9</xdr:col>
                    <xdr:colOff>0</xdr:colOff>
                    <xdr:row>113</xdr:row>
                    <xdr:rowOff>0</xdr:rowOff>
                  </to>
                </anchor>
              </controlPr>
            </control>
          </mc:Choice>
        </mc:AlternateContent>
        <mc:AlternateContent xmlns:mc="http://schemas.openxmlformats.org/markup-compatibility/2006">
          <mc:Choice Requires="x14">
            <control shapeId="470473" r:id="rId154" name="bpmDropDownFLU1317">
              <controlPr defaultSize="0" autoFill="0" autoPict="0">
                <anchor moveWithCells="1">
                  <from>
                    <xdr:col>3</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470474" r:id="rId155" name="bpmDropDownFLU1318">
              <controlPr defaultSize="0" autoFill="0" autoPict="0">
                <anchor moveWithCells="1">
                  <from>
                    <xdr:col>3</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470475" r:id="rId156" name="bpmDropDownFLU1319">
              <controlPr defaultSize="0" autoFill="0" autoPict="0">
                <anchor moveWithCells="1">
                  <from>
                    <xdr:col>3</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470476" r:id="rId157" name="bpmDropDownFLU1320">
              <controlPr defaultSize="0" autoFill="0" autoPict="0">
                <anchor moveWithCells="1">
                  <from>
                    <xdr:col>3</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470477" r:id="rId158" name="bpmDropDownFLU1321">
              <controlPr defaultSize="0" autoFill="0" autoPict="0">
                <anchor moveWithCells="1">
                  <from>
                    <xdr:col>3</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470478" r:id="rId159" name="bpmDropDownFLU1322">
              <controlPr defaultSize="0" autoFill="0" autoPict="0">
                <anchor moveWithCells="1">
                  <from>
                    <xdr:col>3</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470479" r:id="rId160" name="bpmDropDownFLU1323">
              <controlPr defaultSize="0" autoFill="0" autoPict="0">
                <anchor moveWithCells="1">
                  <from>
                    <xdr:col>3</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470480" r:id="rId161" name="bpmDropDownFLU1324">
              <controlPr defaultSize="0" autoFill="0" autoPict="0">
                <anchor moveWithCells="1">
                  <from>
                    <xdr:col>3</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470482" r:id="rId162" name="bpmDropDownFLU1326">
              <controlPr defaultSize="0" autoFill="0" autoPict="0">
                <anchor moveWithCells="1">
                  <from>
                    <xdr:col>3</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470483" r:id="rId163" name="bpmDropDownFLU1327">
              <controlPr defaultSize="0" autoFill="0" autoPict="0">
                <anchor moveWithCells="1">
                  <from>
                    <xdr:col>3</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470484" r:id="rId164" name="bpmDropDownFLU1328">
              <controlPr defaultSize="0" autoFill="0" autoPict="0">
                <anchor moveWithCells="1">
                  <from>
                    <xdr:col>3</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470485" r:id="rId165" name="bpmDropDownFLU1329">
              <controlPr defaultSize="0" autoFill="0" autoPict="0">
                <anchor moveWithCells="1">
                  <from>
                    <xdr:col>3</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470486" r:id="rId166" name="bpmDropDownFLU1330">
              <controlPr defaultSize="0" autoFill="0" autoPict="0">
                <anchor moveWithCells="1">
                  <from>
                    <xdr:col>3</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470487" r:id="rId167" name="bpmDropDownFLU1331">
              <controlPr defaultSize="0" autoFill="0" autoPict="0">
                <anchor moveWithCells="1">
                  <from>
                    <xdr:col>3</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470488" r:id="rId168" name="bpmDropDownFLU1332">
              <controlPr defaultSize="0" autoFill="0" autoPict="0">
                <anchor moveWithCells="1">
                  <from>
                    <xdr:col>3</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470489" r:id="rId169" name="bpmDropDownFLU1333">
              <controlPr defaultSize="0" autoFill="0" autoPict="0">
                <anchor moveWithCells="1">
                  <from>
                    <xdr:col>8</xdr:col>
                    <xdr:colOff>0</xdr:colOff>
                    <xdr:row>181</xdr:row>
                    <xdr:rowOff>0</xdr:rowOff>
                  </from>
                  <to>
                    <xdr:col>9</xdr:col>
                    <xdr:colOff>0</xdr:colOff>
                    <xdr:row>182</xdr:row>
                    <xdr:rowOff>0</xdr:rowOff>
                  </to>
                </anchor>
              </controlPr>
            </control>
          </mc:Choice>
        </mc:AlternateContent>
        <mc:AlternateContent xmlns:mc="http://schemas.openxmlformats.org/markup-compatibility/2006">
          <mc:Choice Requires="x14">
            <control shapeId="470490" r:id="rId170" name="bpmDropDownFLU1334">
              <controlPr defaultSize="0" autoFill="0" autoPict="0">
                <anchor moveWithCells="1">
                  <from>
                    <xdr:col>8</xdr:col>
                    <xdr:colOff>0</xdr:colOff>
                    <xdr:row>182</xdr:row>
                    <xdr:rowOff>0</xdr:rowOff>
                  </from>
                  <to>
                    <xdr:col>9</xdr:col>
                    <xdr:colOff>0</xdr:colOff>
                    <xdr:row>183</xdr:row>
                    <xdr:rowOff>0</xdr:rowOff>
                  </to>
                </anchor>
              </controlPr>
            </control>
          </mc:Choice>
        </mc:AlternateContent>
        <mc:AlternateContent xmlns:mc="http://schemas.openxmlformats.org/markup-compatibility/2006">
          <mc:Choice Requires="x14">
            <control shapeId="470491" r:id="rId171" name="bpmDropDownFLU1335">
              <controlPr defaultSize="0" autoFill="0" autoPict="0">
                <anchor moveWithCells="1">
                  <from>
                    <xdr:col>8</xdr:col>
                    <xdr:colOff>0</xdr:colOff>
                    <xdr:row>183</xdr:row>
                    <xdr:rowOff>0</xdr:rowOff>
                  </from>
                  <to>
                    <xdr:col>9</xdr:col>
                    <xdr:colOff>0</xdr:colOff>
                    <xdr:row>184</xdr:row>
                    <xdr:rowOff>0</xdr:rowOff>
                  </to>
                </anchor>
              </controlPr>
            </control>
          </mc:Choice>
        </mc:AlternateContent>
        <mc:AlternateContent xmlns:mc="http://schemas.openxmlformats.org/markup-compatibility/2006">
          <mc:Choice Requires="x14">
            <control shapeId="470492" r:id="rId172" name="bpmDropDownFLU1336">
              <controlPr defaultSize="0" autoFill="0" autoPict="0">
                <anchor moveWithCells="1">
                  <from>
                    <xdr:col>8</xdr:col>
                    <xdr:colOff>0</xdr:colOff>
                    <xdr:row>184</xdr:row>
                    <xdr:rowOff>0</xdr:rowOff>
                  </from>
                  <to>
                    <xdr:col>9</xdr:col>
                    <xdr:colOff>0</xdr:colOff>
                    <xdr:row>185</xdr:row>
                    <xdr:rowOff>0</xdr:rowOff>
                  </to>
                </anchor>
              </controlPr>
            </control>
          </mc:Choice>
        </mc:AlternateContent>
        <mc:AlternateContent xmlns:mc="http://schemas.openxmlformats.org/markup-compatibility/2006">
          <mc:Choice Requires="x14">
            <control shapeId="470493" r:id="rId173" name="bpmDropDownFLU1337">
              <controlPr defaultSize="0" autoFill="0" autoPict="0">
                <anchor moveWithCells="1">
                  <from>
                    <xdr:col>8</xdr:col>
                    <xdr:colOff>0</xdr:colOff>
                    <xdr:row>185</xdr:row>
                    <xdr:rowOff>0</xdr:rowOff>
                  </from>
                  <to>
                    <xdr:col>9</xdr:col>
                    <xdr:colOff>0</xdr:colOff>
                    <xdr:row>186</xdr:row>
                    <xdr:rowOff>0</xdr:rowOff>
                  </to>
                </anchor>
              </controlPr>
            </control>
          </mc:Choice>
        </mc:AlternateContent>
        <mc:AlternateContent xmlns:mc="http://schemas.openxmlformats.org/markup-compatibility/2006">
          <mc:Choice Requires="x14">
            <control shapeId="470494" r:id="rId174" name="bpmDropDownFLU1338">
              <controlPr defaultSize="0" autoFill="0" autoPict="0">
                <anchor moveWithCells="1">
                  <from>
                    <xdr:col>8</xdr:col>
                    <xdr:colOff>0</xdr:colOff>
                    <xdr:row>186</xdr:row>
                    <xdr:rowOff>0</xdr:rowOff>
                  </from>
                  <to>
                    <xdr:col>9</xdr:col>
                    <xdr:colOff>0</xdr:colOff>
                    <xdr:row>187</xdr:row>
                    <xdr:rowOff>0</xdr:rowOff>
                  </to>
                </anchor>
              </controlPr>
            </control>
          </mc:Choice>
        </mc:AlternateContent>
        <mc:AlternateContent xmlns:mc="http://schemas.openxmlformats.org/markup-compatibility/2006">
          <mc:Choice Requires="x14">
            <control shapeId="470495" r:id="rId175" name="bpmDropDownFLU1339">
              <controlPr defaultSize="0" autoFill="0" autoPict="0">
                <anchor moveWithCells="1">
                  <from>
                    <xdr:col>8</xdr:col>
                    <xdr:colOff>0</xdr:colOff>
                    <xdr:row>187</xdr:row>
                    <xdr:rowOff>0</xdr:rowOff>
                  </from>
                  <to>
                    <xdr:col>9</xdr:col>
                    <xdr:colOff>0</xdr:colOff>
                    <xdr:row>188</xdr:row>
                    <xdr:rowOff>0</xdr:rowOff>
                  </to>
                </anchor>
              </controlPr>
            </control>
          </mc:Choice>
        </mc:AlternateContent>
        <mc:AlternateContent xmlns:mc="http://schemas.openxmlformats.org/markup-compatibility/2006">
          <mc:Choice Requires="x14">
            <control shapeId="470496" r:id="rId176" name="bpmDropDownFLU1340">
              <controlPr defaultSize="0" autoFill="0" autoPict="0">
                <anchor moveWithCells="1">
                  <from>
                    <xdr:col>8</xdr:col>
                    <xdr:colOff>0</xdr:colOff>
                    <xdr:row>188</xdr:row>
                    <xdr:rowOff>0</xdr:rowOff>
                  </from>
                  <to>
                    <xdr:col>9</xdr:col>
                    <xdr:colOff>0</xdr:colOff>
                    <xdr:row>189</xdr:row>
                    <xdr:rowOff>0</xdr:rowOff>
                  </to>
                </anchor>
              </controlPr>
            </control>
          </mc:Choice>
        </mc:AlternateContent>
        <mc:AlternateContent xmlns:mc="http://schemas.openxmlformats.org/markup-compatibility/2006">
          <mc:Choice Requires="x14">
            <control shapeId="470498" r:id="rId177" name="bpmDropDownFLU1342">
              <controlPr defaultSize="0" autoFill="0" autoPict="0">
                <anchor moveWithCells="1">
                  <from>
                    <xdr:col>8</xdr:col>
                    <xdr:colOff>0</xdr:colOff>
                    <xdr:row>189</xdr:row>
                    <xdr:rowOff>0</xdr:rowOff>
                  </from>
                  <to>
                    <xdr:col>9</xdr:col>
                    <xdr:colOff>0</xdr:colOff>
                    <xdr:row>190</xdr:row>
                    <xdr:rowOff>0</xdr:rowOff>
                  </to>
                </anchor>
              </controlPr>
            </control>
          </mc:Choice>
        </mc:AlternateContent>
        <mc:AlternateContent xmlns:mc="http://schemas.openxmlformats.org/markup-compatibility/2006">
          <mc:Choice Requires="x14">
            <control shapeId="470499" r:id="rId178" name="bpmDropDownFLU1343">
              <controlPr defaultSize="0" autoFill="0" autoPict="0">
                <anchor moveWithCells="1">
                  <from>
                    <xdr:col>8</xdr:col>
                    <xdr:colOff>0</xdr:colOff>
                    <xdr:row>190</xdr:row>
                    <xdr:rowOff>0</xdr:rowOff>
                  </from>
                  <to>
                    <xdr:col>9</xdr:col>
                    <xdr:colOff>0</xdr:colOff>
                    <xdr:row>191</xdr:row>
                    <xdr:rowOff>0</xdr:rowOff>
                  </to>
                </anchor>
              </controlPr>
            </control>
          </mc:Choice>
        </mc:AlternateContent>
        <mc:AlternateContent xmlns:mc="http://schemas.openxmlformats.org/markup-compatibility/2006">
          <mc:Choice Requires="x14">
            <control shapeId="470500" r:id="rId179" name="bpmDropDownFLU1344">
              <controlPr defaultSize="0" autoFill="0" autoPict="0">
                <anchor moveWithCells="1">
                  <from>
                    <xdr:col>8</xdr:col>
                    <xdr:colOff>0</xdr:colOff>
                    <xdr:row>191</xdr:row>
                    <xdr:rowOff>0</xdr:rowOff>
                  </from>
                  <to>
                    <xdr:col>9</xdr:col>
                    <xdr:colOff>0</xdr:colOff>
                    <xdr:row>192</xdr:row>
                    <xdr:rowOff>0</xdr:rowOff>
                  </to>
                </anchor>
              </controlPr>
            </control>
          </mc:Choice>
        </mc:AlternateContent>
        <mc:AlternateContent xmlns:mc="http://schemas.openxmlformats.org/markup-compatibility/2006">
          <mc:Choice Requires="x14">
            <control shapeId="470501" r:id="rId180" name="bpmDropDownFLU1345">
              <controlPr defaultSize="0" autoFill="0" autoPict="0">
                <anchor moveWithCells="1">
                  <from>
                    <xdr:col>8</xdr:col>
                    <xdr:colOff>0</xdr:colOff>
                    <xdr:row>192</xdr:row>
                    <xdr:rowOff>0</xdr:rowOff>
                  </from>
                  <to>
                    <xdr:col>9</xdr:col>
                    <xdr:colOff>0</xdr:colOff>
                    <xdr:row>193</xdr:row>
                    <xdr:rowOff>0</xdr:rowOff>
                  </to>
                </anchor>
              </controlPr>
            </control>
          </mc:Choice>
        </mc:AlternateContent>
        <mc:AlternateContent xmlns:mc="http://schemas.openxmlformats.org/markup-compatibility/2006">
          <mc:Choice Requires="x14">
            <control shapeId="470502" r:id="rId181" name="bpmDropDownFLU1346">
              <controlPr defaultSize="0" autoFill="0" autoPict="0">
                <anchor moveWithCells="1">
                  <from>
                    <xdr:col>8</xdr:col>
                    <xdr:colOff>0</xdr:colOff>
                    <xdr:row>193</xdr:row>
                    <xdr:rowOff>0</xdr:rowOff>
                  </from>
                  <to>
                    <xdr:col>9</xdr:col>
                    <xdr:colOff>0</xdr:colOff>
                    <xdr:row>194</xdr:row>
                    <xdr:rowOff>0</xdr:rowOff>
                  </to>
                </anchor>
              </controlPr>
            </control>
          </mc:Choice>
        </mc:AlternateContent>
        <mc:AlternateContent xmlns:mc="http://schemas.openxmlformats.org/markup-compatibility/2006">
          <mc:Choice Requires="x14">
            <control shapeId="470503" r:id="rId182" name="bpmDropDownFLU1347">
              <controlPr defaultSize="0" autoFill="0" autoPict="0">
                <anchor moveWithCells="1">
                  <from>
                    <xdr:col>8</xdr:col>
                    <xdr:colOff>0</xdr:colOff>
                    <xdr:row>194</xdr:row>
                    <xdr:rowOff>0</xdr:rowOff>
                  </from>
                  <to>
                    <xdr:col>9</xdr:col>
                    <xdr:colOff>0</xdr:colOff>
                    <xdr:row>195</xdr:row>
                    <xdr:rowOff>0</xdr:rowOff>
                  </to>
                </anchor>
              </controlPr>
            </control>
          </mc:Choice>
        </mc:AlternateContent>
        <mc:AlternateContent xmlns:mc="http://schemas.openxmlformats.org/markup-compatibility/2006">
          <mc:Choice Requires="x14">
            <control shapeId="470504" r:id="rId183" name="bpmDropDownFLU1348">
              <controlPr defaultSize="0" autoFill="0" autoPict="0">
                <anchor moveWithCells="1">
                  <from>
                    <xdr:col>8</xdr:col>
                    <xdr:colOff>0</xdr:colOff>
                    <xdr:row>195</xdr:row>
                    <xdr:rowOff>0</xdr:rowOff>
                  </from>
                  <to>
                    <xdr:col>9</xdr:col>
                    <xdr:colOff>0</xdr:colOff>
                    <xdr:row>196</xdr:row>
                    <xdr:rowOff>0</xdr:rowOff>
                  </to>
                </anchor>
              </controlPr>
            </control>
          </mc:Choice>
        </mc:AlternateContent>
        <mc:AlternateContent xmlns:mc="http://schemas.openxmlformats.org/markup-compatibility/2006">
          <mc:Choice Requires="x14">
            <control shapeId="470505" r:id="rId184" name="bpmDropDownFLU1349">
              <controlPr defaultSize="0" autoFill="0" autoPict="0">
                <anchor moveWithCells="1">
                  <from>
                    <xdr:col>3</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470506" r:id="rId185" name="bpmDropDownFLU1350">
              <controlPr defaultSize="0" autoFill="0" autoPict="0">
                <anchor moveWithCells="1">
                  <from>
                    <xdr:col>3</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470507" r:id="rId186" name="bpmDropDownFLU1351">
              <controlPr defaultSize="0" autoFill="0" autoPict="0">
                <anchor moveWithCells="1">
                  <from>
                    <xdr:col>3</xdr:col>
                    <xdr:colOff>0</xdr:colOff>
                    <xdr:row>202</xdr:row>
                    <xdr:rowOff>0</xdr:rowOff>
                  </from>
                  <to>
                    <xdr:col>7</xdr:col>
                    <xdr:colOff>0</xdr:colOff>
                    <xdr:row>203</xdr:row>
                    <xdr:rowOff>0</xdr:rowOff>
                  </to>
                </anchor>
              </controlPr>
            </control>
          </mc:Choice>
        </mc:AlternateContent>
        <mc:AlternateContent xmlns:mc="http://schemas.openxmlformats.org/markup-compatibility/2006">
          <mc:Choice Requires="x14">
            <control shapeId="470508" r:id="rId187" name="bpmDropDownFLU1352">
              <controlPr defaultSize="0" autoFill="0" autoPict="0">
                <anchor moveWithCells="1">
                  <from>
                    <xdr:col>3</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470509" r:id="rId188" name="bpmDropDownFLU1353">
              <controlPr defaultSize="0" autoFill="0" autoPict="0">
                <anchor moveWithCells="1">
                  <from>
                    <xdr:col>3</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470510" r:id="rId189" name="bpmDropDownFLU1354">
              <controlPr defaultSize="0" autoFill="0" autoPict="0">
                <anchor moveWithCells="1">
                  <from>
                    <xdr:col>3</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470511" r:id="rId190" name="bpmDropDownFLU1355">
              <controlPr defaultSize="0" autoFill="0" autoPict="0">
                <anchor moveWithCells="1">
                  <from>
                    <xdr:col>3</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470512" r:id="rId191" name="bpmDropDownFLU1356">
              <controlPr defaultSize="0" autoFill="0" autoPict="0">
                <anchor moveWithCells="1">
                  <from>
                    <xdr:col>3</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470514" r:id="rId192" name="bpmDropDownFLU1358">
              <controlPr defaultSize="0" autoFill="0" autoPict="0">
                <anchor moveWithCells="1">
                  <from>
                    <xdr:col>3</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470515" r:id="rId193" name="bpmDropDownFLU1359">
              <controlPr defaultSize="0" autoFill="0" autoPict="0">
                <anchor moveWithCells="1">
                  <from>
                    <xdr:col>3</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470516" r:id="rId194" name="bpmDropDownFLU1360">
              <controlPr defaultSize="0" autoFill="0" autoPict="0">
                <anchor moveWithCells="1">
                  <from>
                    <xdr:col>3</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470517" r:id="rId195" name="bpmDropDownFLU1361">
              <controlPr defaultSize="0" autoFill="0" autoPict="0">
                <anchor moveWithCells="1">
                  <from>
                    <xdr:col>3</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470518" r:id="rId196" name="bpmDropDownFLU1362">
              <controlPr defaultSize="0" autoFill="0" autoPict="0">
                <anchor moveWithCells="1">
                  <from>
                    <xdr:col>3</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470519" r:id="rId197" name="bpmDropDownFLU1363">
              <controlPr defaultSize="0" autoFill="0" autoPict="0">
                <anchor moveWithCells="1">
                  <from>
                    <xdr:col>3</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470520" r:id="rId198" name="bpmDropDownFLU1364">
              <controlPr defaultSize="0" autoFill="0" autoPict="0">
                <anchor moveWithCells="1">
                  <from>
                    <xdr:col>3</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470521" r:id="rId199" name="bpmDropDownFLU1365">
              <controlPr defaultSize="0" autoFill="0" autoPict="0">
                <anchor moveWithCells="1">
                  <from>
                    <xdr:col>3</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470522" r:id="rId200" name="bpmDropDownFLU1366">
              <controlPr defaultSize="0" autoFill="0" autoPict="0">
                <anchor moveWithCells="1">
                  <from>
                    <xdr:col>3</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470523" r:id="rId201" name="bpmDropDownFLU1367">
              <controlPr defaultSize="0" autoFill="0" autoPict="0">
                <anchor moveWithCells="1">
                  <from>
                    <xdr:col>3</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470524" r:id="rId202" name="bpmDropDownFLU1368">
              <controlPr defaultSize="0" autoFill="0" autoPict="0">
                <anchor moveWithCells="1">
                  <from>
                    <xdr:col>3</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470525" r:id="rId203" name="bpmDropDownFLU1369">
              <controlPr defaultSize="0" autoFill="0" autoPict="0">
                <anchor moveWithCells="1">
                  <from>
                    <xdr:col>3</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470526" r:id="rId204" name="bpmDropDownFLU1370">
              <controlPr defaultSize="0" autoFill="0" autoPict="0">
                <anchor moveWithCells="1">
                  <from>
                    <xdr:col>3</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470527" r:id="rId205" name="bpmDropDownFLU1371">
              <controlPr defaultSize="0" autoFill="0" autoPict="0">
                <anchor moveWithCells="1">
                  <from>
                    <xdr:col>3</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470528" r:id="rId206" name="bpmDropDownFLU1372">
              <controlPr defaultSize="0" autoFill="0" autoPict="0">
                <anchor moveWithCells="1">
                  <from>
                    <xdr:col>3</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470530" r:id="rId207" name="bpmDropDownFLU1374">
              <controlPr defaultSize="0" autoFill="0" autoPict="0">
                <anchor moveWithCells="1">
                  <from>
                    <xdr:col>3</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470531" r:id="rId208" name="bpmDropDownFLU1375">
              <controlPr defaultSize="0" autoFill="0" autoPict="0">
                <anchor moveWithCells="1">
                  <from>
                    <xdr:col>3</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470532" r:id="rId209" name="bpmDropDownFLU1376">
              <controlPr defaultSize="0" autoFill="0" autoPict="0">
                <anchor moveWithCells="1">
                  <from>
                    <xdr:col>3</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470533" r:id="rId210" name="bpmDropDownFLU1377">
              <controlPr defaultSize="0" autoFill="0" autoPict="0">
                <anchor moveWithCells="1">
                  <from>
                    <xdr:col>3</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470534" r:id="rId211" name="bpmDropDownFLU1378">
              <controlPr defaultSize="0" autoFill="0" autoPict="0">
                <anchor moveWithCells="1">
                  <from>
                    <xdr:col>3</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470535" r:id="rId212" name="bpmDropDownFLU1379">
              <controlPr defaultSize="0" autoFill="0" autoPict="0">
                <anchor moveWithCells="1">
                  <from>
                    <xdr:col>3</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470536" r:id="rId213" name="bpmDropDownFLU1380">
              <controlPr defaultSize="0" autoFill="0" autoPict="0">
                <anchor moveWithCells="1">
                  <from>
                    <xdr:col>3</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470537" r:id="rId214" name="bpmDropDownFLU1381">
              <controlPr defaultSize="0" autoFill="0" autoPict="0">
                <anchor moveWithCells="1">
                  <from>
                    <xdr:col>3</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470538" r:id="rId215" name="bpmDropDownFLU1382">
              <controlPr defaultSize="0" autoFill="0" autoPict="0">
                <anchor moveWithCells="1">
                  <from>
                    <xdr:col>3</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470539" r:id="rId216" name="bpmDropDownFLU1383">
              <controlPr defaultSize="0" autoFill="0" autoPict="0">
                <anchor moveWithCells="1">
                  <from>
                    <xdr:col>3</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470540" r:id="rId217" name="bpmDropDownFLU1384">
              <controlPr defaultSize="0" autoFill="0" autoPict="0">
                <anchor moveWithCells="1">
                  <from>
                    <xdr:col>3</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470541" r:id="rId218" name="bpmDropDownFLU1385">
              <controlPr defaultSize="0" autoFill="0" autoPict="0">
                <anchor moveWithCells="1">
                  <from>
                    <xdr:col>3</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470542" r:id="rId219" name="bpmDropDownFLU1386">
              <controlPr defaultSize="0" autoFill="0" autoPict="0">
                <anchor moveWithCells="1">
                  <from>
                    <xdr:col>3</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470543" r:id="rId220" name="bpmDropDownFLU1387">
              <controlPr defaultSize="0" autoFill="0" autoPict="0">
                <anchor moveWithCells="1">
                  <from>
                    <xdr:col>3</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470544" r:id="rId221" name="bpmDropDownFLU1388">
              <controlPr defaultSize="0" autoFill="0" autoPict="0">
                <anchor moveWithCells="1">
                  <from>
                    <xdr:col>3</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470546" r:id="rId222" name="bpmDropDownFLU1390">
              <controlPr defaultSize="0" autoFill="0" autoPict="0">
                <anchor moveWithCells="1">
                  <from>
                    <xdr:col>3</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470547" r:id="rId223" name="bpmDropDownFLU1391">
              <controlPr defaultSize="0" autoFill="0" autoPict="0">
                <anchor moveWithCells="1">
                  <from>
                    <xdr:col>3</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470548" r:id="rId224" name="bpmDropDownFLU1392">
              <controlPr defaultSize="0" autoFill="0" autoPict="0">
                <anchor moveWithCells="1">
                  <from>
                    <xdr:col>3</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470549" r:id="rId225" name="bpmDropDownFLU1393">
              <controlPr defaultSize="0" autoFill="0" autoPict="0">
                <anchor moveWithCells="1">
                  <from>
                    <xdr:col>3</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470550" r:id="rId226" name="bpmDropDownFLU1394">
              <controlPr defaultSize="0" autoFill="0" autoPict="0">
                <anchor moveWithCells="1">
                  <from>
                    <xdr:col>3</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470551" r:id="rId227" name="bpmDropDownFLU1395">
              <controlPr defaultSize="0" autoFill="0" autoPict="0">
                <anchor moveWithCells="1">
                  <from>
                    <xdr:col>3</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470552" r:id="rId228" name="bpmDropDownFLU1396">
              <controlPr defaultSize="0" autoFill="0" autoPict="0">
                <anchor moveWithCells="1">
                  <from>
                    <xdr:col>3</xdr:col>
                    <xdr:colOff>0</xdr:colOff>
                    <xdr:row>252</xdr:row>
                    <xdr:rowOff>0</xdr:rowOff>
                  </from>
                  <to>
                    <xdr:col>7</xdr:col>
                    <xdr:colOff>0</xdr:colOff>
                    <xdr:row>253</xdr:row>
                    <xdr:rowOff>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tabColor indexed="62"/>
    <pageSetUpPr autoPageBreaks="0"/>
  </sheetPr>
  <dimension ref="A1:S245"/>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7" width="11.6640625" style="134" customWidth="1"/>
    <col min="8" max="8" width="25.6640625" style="134" customWidth="1"/>
    <col min="9" max="15" width="11.6640625" style="134" customWidth="1"/>
    <col min="16" max="16" width="30.6640625" style="134" customWidth="1"/>
    <col min="17" max="19" width="11.6640625" style="134" customWidth="1"/>
    <col min="20" max="16384" width="11.6640625" style="134" hidden="1"/>
  </cols>
  <sheetData>
    <row r="1" spans="1:18" ht="21">
      <c r="B1" s="46" t="s">
        <v>534</v>
      </c>
    </row>
    <row r="2" spans="1:18" ht="18">
      <c r="B2" s="47" t="str">
        <f>Model_Name</f>
        <v>Seasonal Influenza Immunization Costing Tool (SIICT)  - Test Country</v>
      </c>
    </row>
    <row r="3" spans="1:18">
      <c r="B3" s="716" t="s">
        <v>1</v>
      </c>
      <c r="C3" s="716"/>
      <c r="D3" s="716"/>
      <c r="E3" s="716"/>
      <c r="F3" s="716"/>
    </row>
    <row r="4" spans="1:18">
      <c r="A4" s="48" t="s">
        <v>3</v>
      </c>
      <c r="B4" s="49" t="s">
        <v>4</v>
      </c>
      <c r="C4" s="50" t="s">
        <v>5</v>
      </c>
      <c r="D4" s="51" t="s">
        <v>25</v>
      </c>
      <c r="E4" s="79" t="s">
        <v>26</v>
      </c>
      <c r="F4" s="52" t="s">
        <v>27</v>
      </c>
    </row>
    <row r="5" spans="1:18">
      <c r="K5" s="23"/>
      <c r="Q5" s="23"/>
      <c r="R5" s="23"/>
    </row>
    <row r="6" spans="1:18">
      <c r="K6" s="23"/>
      <c r="Q6" s="23"/>
      <c r="R6" s="23"/>
    </row>
    <row r="7" spans="1:18" ht="17.399999999999999">
      <c r="B7" s="15" t="s">
        <v>572</v>
      </c>
      <c r="K7" s="23"/>
      <c r="Q7" s="23"/>
      <c r="R7" s="23"/>
    </row>
    <row r="8" spans="1:18">
      <c r="K8" s="23"/>
      <c r="Q8" s="23"/>
      <c r="R8" s="23"/>
    </row>
    <row r="9" spans="1:18" s="23" customFormat="1" ht="15.6">
      <c r="C9" s="171" t="str">
        <f>"Detailed Cost Estimate: "&amp;FLU_LU!$D$378</f>
        <v>Detailed Cost Estimate: Other Recurrent Activity 1</v>
      </c>
    </row>
    <row r="10" spans="1:18" s="23" customFormat="1" ht="15.6">
      <c r="F10" s="111" t="s">
        <v>691</v>
      </c>
      <c r="H10" s="776" t="str">
        <f>Other!G16</f>
        <v>[No Scope Defined}</v>
      </c>
      <c r="I10" s="777"/>
      <c r="J10" s="777"/>
      <c r="K10" s="777"/>
      <c r="L10" s="778"/>
    </row>
    <row r="11" spans="1:18" s="23" customFormat="1"/>
    <row r="12" spans="1:18" s="23" customFormat="1"/>
    <row r="13" spans="1:18" s="23" customFormat="1">
      <c r="C13" s="160" t="str">
        <f>FLU_LU!$D$278</f>
        <v xml:space="preserve">Personnel </v>
      </c>
    </row>
    <row r="14" spans="1:18" s="23" customFormat="1" ht="43.2">
      <c r="D14" s="733" t="s">
        <v>100</v>
      </c>
      <c r="E14" s="733"/>
      <c r="F14" s="733"/>
      <c r="G14" s="733"/>
      <c r="H14" s="142" t="s">
        <v>274</v>
      </c>
      <c r="I14" s="72" t="s">
        <v>474</v>
      </c>
      <c r="J14" s="152" t="s">
        <v>67</v>
      </c>
      <c r="K14" s="72" t="s">
        <v>475</v>
      </c>
      <c r="L14" s="28" t="str">
        <f>"Financial Price ("&amp;FLU_LU!$D$79&amp;")"</f>
        <v>Financial Price (GOZ)</v>
      </c>
      <c r="M14" s="28" t="str">
        <f>"Economic Price ("&amp;FLU_LU!$D$79&amp;")"</f>
        <v>Economic Price (GOZ)</v>
      </c>
      <c r="N14" s="28" t="str">
        <f>"Financial Price ("&amp;FLU_LU!$D$78&amp;")"</f>
        <v>Financial Price (USD)</v>
      </c>
      <c r="O14" s="28" t="str">
        <f>"Economic Price ("&amp;FLU_LU!$D$78&amp;")"</f>
        <v>Economic Price (USD)</v>
      </c>
      <c r="P14" s="152" t="s">
        <v>68</v>
      </c>
    </row>
    <row r="15" spans="1:18" s="23" customFormat="1">
      <c r="D15" s="746">
        <v>6</v>
      </c>
      <c r="E15" s="746"/>
      <c r="F15" s="746"/>
      <c r="G15" s="749"/>
      <c r="H15" s="151" t="s">
        <v>528</v>
      </c>
      <c r="I15" s="31">
        <v>1</v>
      </c>
      <c r="J15" s="64">
        <v>3</v>
      </c>
      <c r="K15" s="135">
        <f t="shared" ref="K15:K29" si="0">IF(I15=1,J15/FLU_DAYS_PER_MONTH,IF(I15=2,J15/FLU_HOURS_PER_MONTH,J15/FLU_MINUTES_PER_MONTH))</f>
        <v>0.13636363636363635</v>
      </c>
      <c r="L15" s="366">
        <f ca="1">OFFSET(Cost_Ingredients!$N$73,$D15,0)*$K15</f>
        <v>0</v>
      </c>
      <c r="M15" s="366">
        <f ca="1">OFFSET(Cost_Ingredients!$O$73,$D15,0)*$K15</f>
        <v>11298.681818181818</v>
      </c>
      <c r="N15" s="367">
        <f ca="1">OFFSET(Cost_Ingredients!$P$73,$D15,0)*$K15</f>
        <v>0</v>
      </c>
      <c r="O15" s="368">
        <f ca="1">OFFSET(Cost_Ingredients!$Q$73,$D15,0)*$K15</f>
        <v>75.324545454545444</v>
      </c>
      <c r="P15" s="335"/>
    </row>
    <row r="16" spans="1:18" s="23" customFormat="1">
      <c r="D16" s="746">
        <v>5</v>
      </c>
      <c r="E16" s="746"/>
      <c r="F16" s="746"/>
      <c r="G16" s="749"/>
      <c r="H16" s="151" t="s">
        <v>528</v>
      </c>
      <c r="I16" s="31">
        <v>1</v>
      </c>
      <c r="J16" s="64">
        <v>3</v>
      </c>
      <c r="K16" s="135">
        <f t="shared" si="0"/>
        <v>0.13636363636363635</v>
      </c>
      <c r="L16" s="366">
        <f ca="1">OFFSET(Cost_Ingredients!$N$73,$D16,0)*$K16</f>
        <v>0</v>
      </c>
      <c r="M16" s="366">
        <f ca="1">OFFSET(Cost_Ingredients!$O$73,$D16,0)*$K16</f>
        <v>6218.181818181818</v>
      </c>
      <c r="N16" s="367">
        <f ca="1">OFFSET(Cost_Ingredients!$P$73,$D16,0)*$K16</f>
        <v>0</v>
      </c>
      <c r="O16" s="368">
        <f ca="1">OFFSET(Cost_Ingredients!$Q$73,$D16,0)*$K16</f>
        <v>41.454545454545453</v>
      </c>
      <c r="P16" s="335"/>
    </row>
    <row r="17" spans="3:18" s="23" customFormat="1">
      <c r="D17" s="746">
        <v>8</v>
      </c>
      <c r="E17" s="746"/>
      <c r="F17" s="746"/>
      <c r="G17" s="749"/>
      <c r="H17" s="151" t="s">
        <v>528</v>
      </c>
      <c r="I17" s="31">
        <v>1</v>
      </c>
      <c r="J17" s="64">
        <v>1</v>
      </c>
      <c r="K17" s="135">
        <f t="shared" si="0"/>
        <v>4.5454545454545456E-2</v>
      </c>
      <c r="L17" s="366">
        <f ca="1">OFFSET(Cost_Ingredients!$N$73,$D17,0)*$K17</f>
        <v>0</v>
      </c>
      <c r="M17" s="366">
        <f ca="1">OFFSET(Cost_Ingredients!$O$73,$D17,0)*$K17</f>
        <v>7057.681818181818</v>
      </c>
      <c r="N17" s="367">
        <f ca="1">OFFSET(Cost_Ingredients!$P$73,$D17,0)*$K17</f>
        <v>0</v>
      </c>
      <c r="O17" s="368">
        <f ca="1">OFFSET(Cost_Ingredients!$Q$73,$D17,0)*$K17</f>
        <v>47.051212121212124</v>
      </c>
      <c r="P17" s="335"/>
    </row>
    <row r="18" spans="3:18" s="23" customFormat="1">
      <c r="D18" s="746">
        <v>10</v>
      </c>
      <c r="E18" s="746"/>
      <c r="F18" s="746"/>
      <c r="G18" s="749"/>
      <c r="H18" s="151" t="s">
        <v>528</v>
      </c>
      <c r="I18" s="31">
        <v>1</v>
      </c>
      <c r="J18" s="64">
        <v>4</v>
      </c>
      <c r="K18" s="135">
        <f t="shared" si="0"/>
        <v>0.18181818181818182</v>
      </c>
      <c r="L18" s="366">
        <f ca="1">OFFSET(Cost_Ingredients!$N$73,$D18,0)*$K18</f>
        <v>0</v>
      </c>
      <c r="M18" s="366">
        <f ca="1">OFFSET(Cost_Ingredients!$O$73,$D18,0)*$K18</f>
        <v>13600.854545454546</v>
      </c>
      <c r="N18" s="367">
        <f ca="1">OFFSET(Cost_Ingredients!$P$73,$D18,0)*$K18</f>
        <v>0</v>
      </c>
      <c r="O18" s="368">
        <f ca="1">OFFSET(Cost_Ingredients!$Q$73,$D18,0)*$K18</f>
        <v>90.672363636363642</v>
      </c>
      <c r="P18" s="335"/>
    </row>
    <row r="19" spans="3:18" s="23" customFormat="1">
      <c r="D19" s="746">
        <v>9</v>
      </c>
      <c r="E19" s="746"/>
      <c r="F19" s="746"/>
      <c r="G19" s="749"/>
      <c r="H19" s="151" t="s">
        <v>528</v>
      </c>
      <c r="I19" s="31">
        <v>1</v>
      </c>
      <c r="J19" s="64">
        <v>1</v>
      </c>
      <c r="K19" s="135">
        <f t="shared" si="0"/>
        <v>4.5454545454545456E-2</v>
      </c>
      <c r="L19" s="366">
        <f ca="1">OFFSET(Cost_Ingredients!$N$73,$D19,0)*$K19</f>
        <v>0</v>
      </c>
      <c r="M19" s="366">
        <f ca="1">OFFSET(Cost_Ingredients!$O$73,$D19,0)*$K19</f>
        <v>3713.1818181818185</v>
      </c>
      <c r="N19" s="367">
        <f ca="1">OFFSET(Cost_Ingredients!$P$73,$D19,0)*$K19</f>
        <v>0</v>
      </c>
      <c r="O19" s="368">
        <f ca="1">OFFSET(Cost_Ingredients!$Q$73,$D19,0)*$K19</f>
        <v>24.754545454545458</v>
      </c>
      <c r="P19" s="335"/>
    </row>
    <row r="20" spans="3:18" s="23" customFormat="1">
      <c r="D20" s="746">
        <v>1</v>
      </c>
      <c r="E20" s="746"/>
      <c r="F20" s="746"/>
      <c r="G20" s="749"/>
      <c r="H20" s="151" t="s">
        <v>528</v>
      </c>
      <c r="I20" s="31">
        <v>1</v>
      </c>
      <c r="J20" s="64">
        <v>0</v>
      </c>
      <c r="K20" s="135">
        <f t="shared" si="0"/>
        <v>0</v>
      </c>
      <c r="L20" s="366">
        <f ca="1">OFFSET(Cost_Ingredients!$N$73,$D20,0)*$K20</f>
        <v>0</v>
      </c>
      <c r="M20" s="366">
        <f ca="1">OFFSET(Cost_Ingredients!$O$73,$D20,0)*$K20</f>
        <v>0</v>
      </c>
      <c r="N20" s="367">
        <f ca="1">OFFSET(Cost_Ingredients!$P$73,$D20,0)*$K20</f>
        <v>0</v>
      </c>
      <c r="O20" s="368">
        <f ca="1">OFFSET(Cost_Ingredients!$Q$73,$D20,0)*$K20</f>
        <v>0</v>
      </c>
      <c r="P20" s="335"/>
    </row>
    <row r="21" spans="3:18" s="23" customFormat="1">
      <c r="D21" s="746">
        <v>1</v>
      </c>
      <c r="E21" s="746"/>
      <c r="F21" s="746"/>
      <c r="G21" s="749"/>
      <c r="H21" s="151" t="s">
        <v>528</v>
      </c>
      <c r="I21" s="31">
        <v>1</v>
      </c>
      <c r="J21" s="64">
        <v>0</v>
      </c>
      <c r="K21" s="135">
        <f t="shared" si="0"/>
        <v>0</v>
      </c>
      <c r="L21" s="366">
        <f ca="1">OFFSET(Cost_Ingredients!$N$73,$D21,0)*$K21</f>
        <v>0</v>
      </c>
      <c r="M21" s="366">
        <f ca="1">OFFSET(Cost_Ingredients!$O$73,$D21,0)*$K21</f>
        <v>0</v>
      </c>
      <c r="N21" s="367">
        <f ca="1">OFFSET(Cost_Ingredients!$P$73,$D21,0)*$K21</f>
        <v>0</v>
      </c>
      <c r="O21" s="368">
        <f ca="1">OFFSET(Cost_Ingredients!$Q$73,$D21,0)*$K21</f>
        <v>0</v>
      </c>
      <c r="P21" s="335"/>
    </row>
    <row r="22" spans="3:18" s="23" customFormat="1">
      <c r="D22" s="746">
        <v>1</v>
      </c>
      <c r="E22" s="746"/>
      <c r="F22" s="746"/>
      <c r="G22" s="749"/>
      <c r="H22" s="151" t="s">
        <v>528</v>
      </c>
      <c r="I22" s="31">
        <v>1</v>
      </c>
      <c r="J22" s="64">
        <v>0</v>
      </c>
      <c r="K22" s="135">
        <f t="shared" si="0"/>
        <v>0</v>
      </c>
      <c r="L22" s="366">
        <f ca="1">OFFSET(Cost_Ingredients!$N$73,$D22,0)*$K22</f>
        <v>0</v>
      </c>
      <c r="M22" s="366">
        <f ca="1">OFFSET(Cost_Ingredients!$O$73,$D22,0)*$K22</f>
        <v>0</v>
      </c>
      <c r="N22" s="367">
        <f ca="1">OFFSET(Cost_Ingredients!$P$73,$D22,0)*$K22</f>
        <v>0</v>
      </c>
      <c r="O22" s="368">
        <f ca="1">OFFSET(Cost_Ingredients!$Q$73,$D22,0)*$K22</f>
        <v>0</v>
      </c>
      <c r="P22" s="335"/>
    </row>
    <row r="23" spans="3:18" s="23" customFormat="1">
      <c r="D23" s="746">
        <v>1</v>
      </c>
      <c r="E23" s="746"/>
      <c r="F23" s="746"/>
      <c r="G23" s="749"/>
      <c r="H23" s="151" t="s">
        <v>528</v>
      </c>
      <c r="I23" s="31">
        <v>1</v>
      </c>
      <c r="J23" s="64">
        <v>0</v>
      </c>
      <c r="K23" s="135">
        <f t="shared" si="0"/>
        <v>0</v>
      </c>
      <c r="L23" s="366">
        <f ca="1">OFFSET(Cost_Ingredients!$N$73,$D23,0)*$K23</f>
        <v>0</v>
      </c>
      <c r="M23" s="366">
        <f ca="1">OFFSET(Cost_Ingredients!$O$73,$D23,0)*$K23</f>
        <v>0</v>
      </c>
      <c r="N23" s="367">
        <f ca="1">OFFSET(Cost_Ingredients!$P$73,$D23,0)*$K23</f>
        <v>0</v>
      </c>
      <c r="O23" s="368">
        <f ca="1">OFFSET(Cost_Ingredients!$Q$73,$D23,0)*$K23</f>
        <v>0</v>
      </c>
      <c r="P23" s="335"/>
    </row>
    <row r="24" spans="3:18" s="23" customFormat="1">
      <c r="D24" s="746">
        <v>1</v>
      </c>
      <c r="E24" s="746"/>
      <c r="F24" s="746"/>
      <c r="G24" s="749"/>
      <c r="H24" s="151" t="s">
        <v>528</v>
      </c>
      <c r="I24" s="31">
        <v>1</v>
      </c>
      <c r="J24" s="64">
        <v>0</v>
      </c>
      <c r="K24" s="135">
        <f t="shared" si="0"/>
        <v>0</v>
      </c>
      <c r="L24" s="366">
        <f ca="1">OFFSET(Cost_Ingredients!$N$73,$D24,0)*$K24</f>
        <v>0</v>
      </c>
      <c r="M24" s="366">
        <f ca="1">OFFSET(Cost_Ingredients!$O$73,$D24,0)*$K24</f>
        <v>0</v>
      </c>
      <c r="N24" s="367">
        <f ca="1">OFFSET(Cost_Ingredients!$P$73,$D24,0)*$K24</f>
        <v>0</v>
      </c>
      <c r="O24" s="368">
        <f ca="1">OFFSET(Cost_Ingredients!$Q$73,$D24,0)*$K24</f>
        <v>0</v>
      </c>
      <c r="P24" s="335"/>
    </row>
    <row r="25" spans="3:18" s="23" customFormat="1">
      <c r="D25" s="746">
        <v>1</v>
      </c>
      <c r="E25" s="746"/>
      <c r="F25" s="746"/>
      <c r="G25" s="749"/>
      <c r="H25" s="151" t="s">
        <v>528</v>
      </c>
      <c r="I25" s="31">
        <v>1</v>
      </c>
      <c r="J25" s="64">
        <v>0</v>
      </c>
      <c r="K25" s="135">
        <f t="shared" si="0"/>
        <v>0</v>
      </c>
      <c r="L25" s="366">
        <f ca="1">OFFSET(Cost_Ingredients!$N$73,$D25,0)*$K25</f>
        <v>0</v>
      </c>
      <c r="M25" s="366">
        <f ca="1">OFFSET(Cost_Ingredients!$O$73,$D25,0)*$K25</f>
        <v>0</v>
      </c>
      <c r="N25" s="367">
        <f ca="1">OFFSET(Cost_Ingredients!$P$73,$D25,0)*$K25</f>
        <v>0</v>
      </c>
      <c r="O25" s="368">
        <f ca="1">OFFSET(Cost_Ingredients!$Q$73,$D25,0)*$K25</f>
        <v>0</v>
      </c>
      <c r="P25" s="335"/>
    </row>
    <row r="26" spans="3:18" s="23" customFormat="1">
      <c r="D26" s="746">
        <v>1</v>
      </c>
      <c r="E26" s="746"/>
      <c r="F26" s="746"/>
      <c r="G26" s="749"/>
      <c r="H26" s="151" t="s">
        <v>528</v>
      </c>
      <c r="I26" s="31">
        <v>1</v>
      </c>
      <c r="J26" s="64">
        <v>0</v>
      </c>
      <c r="K26" s="135">
        <f t="shared" si="0"/>
        <v>0</v>
      </c>
      <c r="L26" s="366">
        <f ca="1">OFFSET(Cost_Ingredients!$N$73,$D26,0)*$K26</f>
        <v>0</v>
      </c>
      <c r="M26" s="366">
        <f ca="1">OFFSET(Cost_Ingredients!$O$73,$D26,0)*$K26</f>
        <v>0</v>
      </c>
      <c r="N26" s="367">
        <f ca="1">OFFSET(Cost_Ingredients!$P$73,$D26,0)*$K26</f>
        <v>0</v>
      </c>
      <c r="O26" s="368">
        <f ca="1">OFFSET(Cost_Ingredients!$Q$73,$D26,0)*$K26</f>
        <v>0</v>
      </c>
      <c r="P26" s="335"/>
    </row>
    <row r="27" spans="3:18" s="23" customFormat="1">
      <c r="D27" s="746">
        <v>1</v>
      </c>
      <c r="E27" s="746"/>
      <c r="F27" s="746"/>
      <c r="G27" s="749"/>
      <c r="H27" s="151" t="s">
        <v>528</v>
      </c>
      <c r="I27" s="31">
        <v>1</v>
      </c>
      <c r="J27" s="64">
        <v>0</v>
      </c>
      <c r="K27" s="135">
        <f t="shared" si="0"/>
        <v>0</v>
      </c>
      <c r="L27" s="366">
        <f ca="1">OFFSET(Cost_Ingredients!$N$73,$D27,0)*$K27</f>
        <v>0</v>
      </c>
      <c r="M27" s="366">
        <f ca="1">OFFSET(Cost_Ingredients!$O$73,$D27,0)*$K27</f>
        <v>0</v>
      </c>
      <c r="N27" s="367">
        <f ca="1">OFFSET(Cost_Ingredients!$P$73,$D27,0)*$K27</f>
        <v>0</v>
      </c>
      <c r="O27" s="368">
        <f ca="1">OFFSET(Cost_Ingredients!$Q$73,$D27,0)*$K27</f>
        <v>0</v>
      </c>
      <c r="P27" s="335"/>
    </row>
    <row r="28" spans="3:18" s="23" customFormat="1">
      <c r="D28" s="746">
        <v>1</v>
      </c>
      <c r="E28" s="746"/>
      <c r="F28" s="746"/>
      <c r="G28" s="749"/>
      <c r="H28" s="151" t="s">
        <v>528</v>
      </c>
      <c r="I28" s="31">
        <v>1</v>
      </c>
      <c r="J28" s="64">
        <v>0</v>
      </c>
      <c r="K28" s="135">
        <f t="shared" si="0"/>
        <v>0</v>
      </c>
      <c r="L28" s="366">
        <f ca="1">OFFSET(Cost_Ingredients!$N$73,$D28,0)*$K28</f>
        <v>0</v>
      </c>
      <c r="M28" s="366">
        <f ca="1">OFFSET(Cost_Ingredients!$O$73,$D28,0)*$K28</f>
        <v>0</v>
      </c>
      <c r="N28" s="367">
        <f ca="1">OFFSET(Cost_Ingredients!$P$73,$D28,0)*$K28</f>
        <v>0</v>
      </c>
      <c r="O28" s="368">
        <f ca="1">OFFSET(Cost_Ingredients!$Q$73,$D28,0)*$K28</f>
        <v>0</v>
      </c>
      <c r="P28" s="335"/>
    </row>
    <row r="29" spans="3:18" s="23" customFormat="1">
      <c r="D29" s="746">
        <v>1</v>
      </c>
      <c r="E29" s="746"/>
      <c r="F29" s="746"/>
      <c r="G29" s="749"/>
      <c r="H29" s="151" t="s">
        <v>528</v>
      </c>
      <c r="I29" s="31">
        <v>1</v>
      </c>
      <c r="J29" s="173">
        <v>0</v>
      </c>
      <c r="K29" s="135">
        <f t="shared" si="0"/>
        <v>0</v>
      </c>
      <c r="L29" s="366">
        <f ca="1">OFFSET(Cost_Ingredients!$N$73,$D29,0)*$K29</f>
        <v>0</v>
      </c>
      <c r="M29" s="366">
        <f ca="1">OFFSET(Cost_Ingredients!$O$73,$D29,0)*$K29</f>
        <v>0</v>
      </c>
      <c r="N29" s="367">
        <f ca="1">OFFSET(Cost_Ingredients!$P$73,$D29,0)*$K29</f>
        <v>0</v>
      </c>
      <c r="O29" s="368">
        <f ca="1">OFFSET(Cost_Ingredients!$Q$73,$D29,0)*$K29</f>
        <v>0</v>
      </c>
      <c r="P29" s="370"/>
    </row>
    <row r="30" spans="3:18" s="23" customFormat="1">
      <c r="D30" s="12"/>
      <c r="E30" s="12"/>
      <c r="F30" s="12"/>
      <c r="G30" s="12"/>
      <c r="H30" s="152"/>
      <c r="J30" s="69"/>
      <c r="K30" s="169">
        <f>SUM(K15:K29)</f>
        <v>0.54545454545454541</v>
      </c>
      <c r="L30" s="181">
        <f ca="1">SUM(L15:L29)</f>
        <v>0</v>
      </c>
      <c r="M30" s="181">
        <f ca="1">SUM(M15:M29)</f>
        <v>41888.581818181818</v>
      </c>
      <c r="N30" s="187">
        <f ca="1">SUM(N15:N29)</f>
        <v>0</v>
      </c>
      <c r="O30" s="187">
        <f ca="1">SUM(O15:O29)</f>
        <v>279.25721212121209</v>
      </c>
      <c r="P30" s="156"/>
    </row>
    <row r="31" spans="3:18" s="23" customFormat="1"/>
    <row r="32" spans="3:18">
      <c r="C32" s="153" t="str">
        <f>FLU_LU!$D$279</f>
        <v>Allowances</v>
      </c>
      <c r="K32" s="23"/>
      <c r="Q32" s="23"/>
      <c r="R32" s="23"/>
    </row>
    <row r="33" spans="3:18" ht="28.8">
      <c r="D33" s="733" t="s">
        <v>100</v>
      </c>
      <c r="E33" s="733"/>
      <c r="F33" s="733"/>
      <c r="G33" s="733"/>
      <c r="H33" s="730" t="s">
        <v>274</v>
      </c>
      <c r="I33" s="730"/>
      <c r="J33" s="152" t="s">
        <v>67</v>
      </c>
      <c r="K33" s="23"/>
      <c r="L33" s="28" t="str">
        <f>"Financial Price ("&amp;FLU_LU!$D$79&amp;")"</f>
        <v>Financial Price (GOZ)</v>
      </c>
      <c r="M33" s="28" t="str">
        <f>"Economic Price ("&amp;FLU_LU!$D$79&amp;")"</f>
        <v>Economic Price (GOZ)</v>
      </c>
      <c r="N33" s="28" t="str">
        <f>"Financial Price ("&amp;FLU_LU!$D$78&amp;")"</f>
        <v>Financial Price (USD)</v>
      </c>
      <c r="O33" s="28" t="str">
        <f>"Economic Price ("&amp;FLU_LU!$D$78&amp;")"</f>
        <v>Economic Price (USD)</v>
      </c>
      <c r="P33" s="152" t="s">
        <v>68</v>
      </c>
      <c r="Q33" s="23"/>
      <c r="R33" s="23"/>
    </row>
    <row r="34" spans="3:18" s="23" customFormat="1">
      <c r="D34" s="746">
        <v>2</v>
      </c>
      <c r="E34" s="746"/>
      <c r="F34" s="746"/>
      <c r="G34" s="749"/>
      <c r="H34" s="667" t="s">
        <v>528</v>
      </c>
      <c r="I34" s="667"/>
      <c r="J34" s="117">
        <v>1</v>
      </c>
      <c r="L34" s="169">
        <f ca="1">OFFSET(Cost_Ingredients!N$103,$D34,0)*$J34</f>
        <v>5500</v>
      </c>
      <c r="M34" s="169">
        <f ca="1">OFFSET(Cost_Ingredients!O$103,$D34,0)*$J34</f>
        <v>5500</v>
      </c>
      <c r="N34" s="176">
        <f ca="1">OFFSET(Cost_Ingredients!P$103,$D34,0)*$J34</f>
        <v>36.666666666666664</v>
      </c>
      <c r="O34" s="176">
        <f ca="1">OFFSET(Cost_Ingredients!Q$103,$D34,0)*$J34</f>
        <v>36.666666666666664</v>
      </c>
      <c r="P34" s="151"/>
    </row>
    <row r="35" spans="3:18" s="23" customFormat="1">
      <c r="D35" s="746">
        <v>1</v>
      </c>
      <c r="E35" s="746"/>
      <c r="F35" s="746"/>
      <c r="G35" s="749"/>
      <c r="H35" s="667" t="s">
        <v>528</v>
      </c>
      <c r="I35" s="667"/>
      <c r="J35" s="117">
        <v>1</v>
      </c>
      <c r="L35" s="169">
        <f ca="1">OFFSET(Cost_Ingredients!N$103,$D35,0)*$J35</f>
        <v>0</v>
      </c>
      <c r="M35" s="169">
        <f ca="1">OFFSET(Cost_Ingredients!O$103,$D35,0)*$J35</f>
        <v>0</v>
      </c>
      <c r="N35" s="176">
        <f ca="1">OFFSET(Cost_Ingredients!P$103,$D35,0)*$J35</f>
        <v>0</v>
      </c>
      <c r="O35" s="176">
        <f ca="1">OFFSET(Cost_Ingredients!Q$103,$D35,0)*$J35</f>
        <v>0</v>
      </c>
      <c r="P35" s="151"/>
    </row>
    <row r="36" spans="3:18" s="23" customFormat="1">
      <c r="D36" s="746">
        <v>1</v>
      </c>
      <c r="E36" s="746"/>
      <c r="F36" s="746"/>
      <c r="G36" s="749"/>
      <c r="H36" s="667" t="s">
        <v>528</v>
      </c>
      <c r="I36" s="667"/>
      <c r="J36" s="117">
        <v>1</v>
      </c>
      <c r="L36" s="169">
        <f ca="1">OFFSET(Cost_Ingredients!N$103,$D36,0)*$J36</f>
        <v>0</v>
      </c>
      <c r="M36" s="169">
        <f ca="1">OFFSET(Cost_Ingredients!O$103,$D36,0)*$J36</f>
        <v>0</v>
      </c>
      <c r="N36" s="176">
        <f ca="1">OFFSET(Cost_Ingredients!P$103,$D36,0)*$J36</f>
        <v>0</v>
      </c>
      <c r="O36" s="176">
        <f ca="1">OFFSET(Cost_Ingredients!Q$103,$D36,0)*$J36</f>
        <v>0</v>
      </c>
      <c r="P36" s="151"/>
    </row>
    <row r="37" spans="3:18" s="23" customFormat="1">
      <c r="D37" s="746">
        <v>1</v>
      </c>
      <c r="E37" s="746"/>
      <c r="F37" s="746"/>
      <c r="G37" s="749"/>
      <c r="H37" s="667" t="s">
        <v>528</v>
      </c>
      <c r="I37" s="667"/>
      <c r="J37" s="117">
        <v>1</v>
      </c>
      <c r="L37" s="169">
        <f ca="1">OFFSET(Cost_Ingredients!N$103,$D37,0)*$J37</f>
        <v>0</v>
      </c>
      <c r="M37" s="169">
        <f ca="1">OFFSET(Cost_Ingredients!O$103,$D37,0)*$J37</f>
        <v>0</v>
      </c>
      <c r="N37" s="176">
        <f ca="1">OFFSET(Cost_Ingredients!P$103,$D37,0)*$J37</f>
        <v>0</v>
      </c>
      <c r="O37" s="176">
        <f ca="1">OFFSET(Cost_Ingredients!Q$103,$D37,0)*$J37</f>
        <v>0</v>
      </c>
      <c r="P37" s="151"/>
    </row>
    <row r="38" spans="3:18" s="23" customFormat="1">
      <c r="D38" s="746">
        <v>1</v>
      </c>
      <c r="E38" s="746"/>
      <c r="F38" s="746"/>
      <c r="G38" s="749"/>
      <c r="H38" s="667" t="s">
        <v>528</v>
      </c>
      <c r="I38" s="667"/>
      <c r="J38" s="117">
        <v>1</v>
      </c>
      <c r="L38" s="169">
        <f ca="1">OFFSET(Cost_Ingredients!N$103,$D38,0)*$J38</f>
        <v>0</v>
      </c>
      <c r="M38" s="169">
        <f ca="1">OFFSET(Cost_Ingredients!O$103,$D38,0)*$J38</f>
        <v>0</v>
      </c>
      <c r="N38" s="176">
        <f ca="1">OFFSET(Cost_Ingredients!P$103,$D38,0)*$J38</f>
        <v>0</v>
      </c>
      <c r="O38" s="176">
        <f ca="1">OFFSET(Cost_Ingredients!Q$103,$D38,0)*$J38</f>
        <v>0</v>
      </c>
      <c r="P38" s="151"/>
    </row>
    <row r="39" spans="3:18" s="23" customFormat="1">
      <c r="D39" s="746">
        <v>1</v>
      </c>
      <c r="E39" s="746"/>
      <c r="F39" s="746"/>
      <c r="G39" s="749"/>
      <c r="H39" s="667" t="s">
        <v>528</v>
      </c>
      <c r="I39" s="667"/>
      <c r="J39" s="117">
        <v>0</v>
      </c>
      <c r="L39" s="169">
        <f ca="1">OFFSET(Cost_Ingredients!N$103,$D39,0)*$J39</f>
        <v>0</v>
      </c>
      <c r="M39" s="169">
        <f ca="1">OFFSET(Cost_Ingredients!O$103,$D39,0)*$J39</f>
        <v>0</v>
      </c>
      <c r="N39" s="176">
        <f ca="1">OFFSET(Cost_Ingredients!P$103,$D39,0)*$J39</f>
        <v>0</v>
      </c>
      <c r="O39" s="176">
        <f ca="1">OFFSET(Cost_Ingredients!Q$103,$D39,0)*$J39</f>
        <v>0</v>
      </c>
      <c r="P39" s="151"/>
    </row>
    <row r="40" spans="3:18" s="23" customFormat="1">
      <c r="D40" s="746">
        <v>1</v>
      </c>
      <c r="E40" s="746"/>
      <c r="F40" s="746"/>
      <c r="G40" s="749"/>
      <c r="H40" s="667" t="s">
        <v>528</v>
      </c>
      <c r="I40" s="667"/>
      <c r="J40" s="117">
        <v>0</v>
      </c>
      <c r="L40" s="169">
        <f ca="1">OFFSET(Cost_Ingredients!N$103,$D40,0)*$J40</f>
        <v>0</v>
      </c>
      <c r="M40" s="169">
        <f ca="1">OFFSET(Cost_Ingredients!O$103,$D40,0)*$J40</f>
        <v>0</v>
      </c>
      <c r="N40" s="176">
        <f ca="1">OFFSET(Cost_Ingredients!P$103,$D40,0)*$J40</f>
        <v>0</v>
      </c>
      <c r="O40" s="176">
        <f ca="1">OFFSET(Cost_Ingredients!Q$103,$D40,0)*$J40</f>
        <v>0</v>
      </c>
      <c r="P40" s="151"/>
    </row>
    <row r="41" spans="3:18" s="23" customFormat="1">
      <c r="D41" s="746">
        <v>1</v>
      </c>
      <c r="E41" s="746"/>
      <c r="F41" s="746"/>
      <c r="G41" s="749"/>
      <c r="H41" s="667" t="s">
        <v>528</v>
      </c>
      <c r="I41" s="667"/>
      <c r="J41" s="117">
        <v>0</v>
      </c>
      <c r="L41" s="169">
        <f ca="1">OFFSET(Cost_Ingredients!N$103,$D41,0)*$J41</f>
        <v>0</v>
      </c>
      <c r="M41" s="169">
        <f ca="1">OFFSET(Cost_Ingredients!O$103,$D41,0)*$J41</f>
        <v>0</v>
      </c>
      <c r="N41" s="176">
        <f ca="1">OFFSET(Cost_Ingredients!P$103,$D41,0)*$J41</f>
        <v>0</v>
      </c>
      <c r="O41" s="176">
        <f ca="1">OFFSET(Cost_Ingredients!Q$103,$D41,0)*$J41</f>
        <v>0</v>
      </c>
      <c r="P41" s="151"/>
    </row>
    <row r="42" spans="3:18" s="23" customFormat="1">
      <c r="D42" s="746">
        <v>1</v>
      </c>
      <c r="E42" s="746"/>
      <c r="F42" s="746"/>
      <c r="G42" s="749"/>
      <c r="H42" s="667" t="s">
        <v>528</v>
      </c>
      <c r="I42" s="667"/>
      <c r="J42" s="117">
        <v>0</v>
      </c>
      <c r="L42" s="169">
        <f ca="1">OFFSET(Cost_Ingredients!N$103,$D42,0)*$J42</f>
        <v>0</v>
      </c>
      <c r="M42" s="169">
        <f ca="1">OFFSET(Cost_Ingredients!O$103,$D42,0)*$J42</f>
        <v>0</v>
      </c>
      <c r="N42" s="176">
        <f ca="1">OFFSET(Cost_Ingredients!P$103,$D42,0)*$J42</f>
        <v>0</v>
      </c>
      <c r="O42" s="176">
        <f ca="1">OFFSET(Cost_Ingredients!Q$103,$D42,0)*$J42</f>
        <v>0</v>
      </c>
      <c r="P42" s="151"/>
    </row>
    <row r="43" spans="3:18" s="23" customFormat="1">
      <c r="D43" s="746">
        <v>1</v>
      </c>
      <c r="E43" s="746"/>
      <c r="F43" s="746"/>
      <c r="G43" s="749"/>
      <c r="H43" s="745" t="s">
        <v>528</v>
      </c>
      <c r="I43" s="745"/>
      <c r="J43" s="207">
        <v>0</v>
      </c>
      <c r="L43" s="169">
        <f ca="1">OFFSET(Cost_Ingredients!N$103,$D43,0)*$J43</f>
        <v>0</v>
      </c>
      <c r="M43" s="169">
        <f ca="1">OFFSET(Cost_Ingredients!O$103,$D43,0)*$J43</f>
        <v>0</v>
      </c>
      <c r="N43" s="176">
        <f ca="1">OFFSET(Cost_Ingredients!P$103,$D43,0)*$J43</f>
        <v>0</v>
      </c>
      <c r="O43" s="176">
        <f ca="1">OFFSET(Cost_Ingredients!Q$103,$D43,0)*$J43</f>
        <v>0</v>
      </c>
      <c r="P43" s="172"/>
    </row>
    <row r="44" spans="3:18" s="23" customFormat="1">
      <c r="D44" s="12"/>
      <c r="E44" s="12"/>
      <c r="F44" s="12"/>
      <c r="G44" s="12"/>
      <c r="H44" s="156"/>
      <c r="I44" s="156"/>
      <c r="J44" s="69"/>
      <c r="L44" s="181">
        <f ca="1">SUM(L34:L43)</f>
        <v>5500</v>
      </c>
      <c r="M44" s="181">
        <f ca="1">SUM(M34:M43)</f>
        <v>5500</v>
      </c>
      <c r="N44" s="187">
        <f ca="1">SUM(N34:N43)</f>
        <v>36.666666666666664</v>
      </c>
      <c r="O44" s="187">
        <f ca="1">SUM(O34:O43)</f>
        <v>36.666666666666664</v>
      </c>
      <c r="P44" s="156"/>
    </row>
    <row r="45" spans="3:18">
      <c r="K45" s="23"/>
      <c r="Q45" s="23"/>
      <c r="R45" s="23"/>
    </row>
    <row r="46" spans="3:18">
      <c r="C46" s="153" t="str">
        <f>FLU_LU!$D$280</f>
        <v>Supplies &amp; Materials</v>
      </c>
      <c r="K46" s="23"/>
      <c r="Q46" s="23"/>
      <c r="R46" s="23"/>
    </row>
    <row r="47" spans="3:18" ht="28.8">
      <c r="D47" s="733" t="s">
        <v>100</v>
      </c>
      <c r="E47" s="733"/>
      <c r="F47" s="733"/>
      <c r="G47" s="733"/>
      <c r="H47" s="142" t="s">
        <v>274</v>
      </c>
      <c r="I47" s="152" t="s">
        <v>63</v>
      </c>
      <c r="J47" s="152" t="s">
        <v>67</v>
      </c>
      <c r="K47" s="23"/>
      <c r="L47" s="28" t="str">
        <f>"Financial Price ("&amp;FLU_LU!$D$79&amp;")"</f>
        <v>Financial Price (GOZ)</v>
      </c>
      <c r="M47" s="28" t="str">
        <f>"Economic Price ("&amp;FLU_LU!$D$79&amp;")"</f>
        <v>Economic Price (GOZ)</v>
      </c>
      <c r="N47" s="28" t="str">
        <f>"Financial Price ("&amp;FLU_LU!$D$78&amp;")"</f>
        <v>Financial Price (USD)</v>
      </c>
      <c r="O47" s="28" t="str">
        <f>"Economic Price ("&amp;FLU_LU!$D$78&amp;")"</f>
        <v>Economic Price (USD)</v>
      </c>
      <c r="P47" s="152" t="s">
        <v>68</v>
      </c>
      <c r="Q47" s="23"/>
      <c r="R47" s="23"/>
    </row>
    <row r="48" spans="3:18" s="23" customFormat="1">
      <c r="D48" s="746">
        <v>3</v>
      </c>
      <c r="E48" s="746"/>
      <c r="F48" s="746"/>
      <c r="G48" s="749"/>
      <c r="H48" s="151" t="s">
        <v>528</v>
      </c>
      <c r="I48" s="169" t="str">
        <f ca="1">OFFSET(Cost_Ingredients!$M$117,$D48,0)</f>
        <v>pz</v>
      </c>
      <c r="J48" s="64">
        <v>1</v>
      </c>
      <c r="L48" s="169">
        <f ca="1">OFFSET(Cost_Ingredients!N$117,$D48,0)*$J48</f>
        <v>1</v>
      </c>
      <c r="M48" s="169">
        <f ca="1">OFFSET(Cost_Ingredients!O$117,$D48,0)*$J48</f>
        <v>6</v>
      </c>
      <c r="N48" s="176">
        <f ca="1">OFFSET(Cost_Ingredients!P$117,$D48,0)*$J48</f>
        <v>6.6666666666666671E-3</v>
      </c>
      <c r="O48" s="176">
        <f ca="1">OFFSET(Cost_Ingredients!Q$117,$D48,0)*$J48</f>
        <v>0.04</v>
      </c>
      <c r="P48" s="151"/>
    </row>
    <row r="49" spans="3:18" s="23" customFormat="1">
      <c r="D49" s="746">
        <v>1</v>
      </c>
      <c r="E49" s="746"/>
      <c r="F49" s="746"/>
      <c r="G49" s="749"/>
      <c r="H49" s="151" t="s">
        <v>528</v>
      </c>
      <c r="I49" s="169">
        <f ca="1">OFFSET(Cost_Ingredients!$M$117,$D49,0)</f>
        <v>0</v>
      </c>
      <c r="J49" s="64"/>
      <c r="L49" s="169">
        <f ca="1">OFFSET(Cost_Ingredients!N$117,$D49,0)*$J49</f>
        <v>0</v>
      </c>
      <c r="M49" s="169">
        <f ca="1">OFFSET(Cost_Ingredients!O$117,$D49,0)*$J49</f>
        <v>0</v>
      </c>
      <c r="N49" s="176">
        <f ca="1">OFFSET(Cost_Ingredients!P$117,$D49,0)*$J49</f>
        <v>0</v>
      </c>
      <c r="O49" s="176">
        <f ca="1">OFFSET(Cost_Ingredients!Q$117,$D49,0)*$J49</f>
        <v>0</v>
      </c>
      <c r="P49" s="151"/>
    </row>
    <row r="50" spans="3:18" s="23" customFormat="1">
      <c r="D50" s="746">
        <v>1</v>
      </c>
      <c r="E50" s="746"/>
      <c r="F50" s="746"/>
      <c r="G50" s="749"/>
      <c r="H50" s="151" t="s">
        <v>528</v>
      </c>
      <c r="I50" s="169">
        <f ca="1">OFFSET(Cost_Ingredients!$M$117,$D50,0)</f>
        <v>0</v>
      </c>
      <c r="J50" s="64">
        <v>0</v>
      </c>
      <c r="L50" s="169">
        <f ca="1">OFFSET(Cost_Ingredients!N$117,$D50,0)*$J50</f>
        <v>0</v>
      </c>
      <c r="M50" s="169">
        <f ca="1">OFFSET(Cost_Ingredients!O$117,$D50,0)*$J50</f>
        <v>0</v>
      </c>
      <c r="N50" s="176">
        <f ca="1">OFFSET(Cost_Ingredients!P$117,$D50,0)*$J50</f>
        <v>0</v>
      </c>
      <c r="O50" s="176">
        <f ca="1">OFFSET(Cost_Ingredients!Q$117,$D50,0)*$J50</f>
        <v>0</v>
      </c>
      <c r="P50" s="151"/>
    </row>
    <row r="51" spans="3:18" s="23" customFormat="1">
      <c r="D51" s="746">
        <v>1</v>
      </c>
      <c r="E51" s="746"/>
      <c r="F51" s="746"/>
      <c r="G51" s="749"/>
      <c r="H51" s="151" t="s">
        <v>528</v>
      </c>
      <c r="I51" s="169">
        <f ca="1">OFFSET(Cost_Ingredients!$M$117,$D51,0)</f>
        <v>0</v>
      </c>
      <c r="J51" s="64">
        <v>0</v>
      </c>
      <c r="L51" s="169">
        <f ca="1">OFFSET(Cost_Ingredients!N$117,$D51,0)*$J51</f>
        <v>0</v>
      </c>
      <c r="M51" s="169">
        <f ca="1">OFFSET(Cost_Ingredients!O$117,$D51,0)*$J51</f>
        <v>0</v>
      </c>
      <c r="N51" s="176">
        <f ca="1">OFFSET(Cost_Ingredients!P$117,$D51,0)*$J51</f>
        <v>0</v>
      </c>
      <c r="O51" s="176">
        <f ca="1">OFFSET(Cost_Ingredients!Q$117,$D51,0)*$J51</f>
        <v>0</v>
      </c>
      <c r="P51" s="151"/>
    </row>
    <row r="52" spans="3:18" s="23" customFormat="1">
      <c r="D52" s="746">
        <v>1</v>
      </c>
      <c r="E52" s="746"/>
      <c r="F52" s="746"/>
      <c r="G52" s="749"/>
      <c r="H52" s="151" t="s">
        <v>528</v>
      </c>
      <c r="I52" s="169">
        <f ca="1">OFFSET(Cost_Ingredients!$M$117,$D52,0)</f>
        <v>0</v>
      </c>
      <c r="J52" s="64">
        <v>0</v>
      </c>
      <c r="L52" s="169">
        <f ca="1">OFFSET(Cost_Ingredients!N$117,$D52,0)*$J52</f>
        <v>0</v>
      </c>
      <c r="M52" s="169">
        <f ca="1">OFFSET(Cost_Ingredients!O$117,$D52,0)*$J52</f>
        <v>0</v>
      </c>
      <c r="N52" s="176">
        <f ca="1">OFFSET(Cost_Ingredients!P$117,$D52,0)*$J52</f>
        <v>0</v>
      </c>
      <c r="O52" s="176">
        <f ca="1">OFFSET(Cost_Ingredients!Q$117,$D52,0)*$J52</f>
        <v>0</v>
      </c>
      <c r="P52" s="151"/>
    </row>
    <row r="53" spans="3:18" s="23" customFormat="1">
      <c r="D53" s="746">
        <v>1</v>
      </c>
      <c r="E53" s="746"/>
      <c r="F53" s="746"/>
      <c r="G53" s="749"/>
      <c r="H53" s="151" t="s">
        <v>528</v>
      </c>
      <c r="I53" s="169">
        <f ca="1">OFFSET(Cost_Ingredients!$M$117,$D53,0)</f>
        <v>0</v>
      </c>
      <c r="J53" s="64">
        <v>0</v>
      </c>
      <c r="L53" s="169">
        <f ca="1">OFFSET(Cost_Ingredients!N$117,$D53,0)*$J53</f>
        <v>0</v>
      </c>
      <c r="M53" s="169">
        <f ca="1">OFFSET(Cost_Ingredients!O$117,$D53,0)*$J53</f>
        <v>0</v>
      </c>
      <c r="N53" s="176">
        <f ca="1">OFFSET(Cost_Ingredients!P$117,$D53,0)*$J53</f>
        <v>0</v>
      </c>
      <c r="O53" s="176">
        <f ca="1">OFFSET(Cost_Ingredients!Q$117,$D53,0)*$J53</f>
        <v>0</v>
      </c>
      <c r="P53" s="151"/>
    </row>
    <row r="54" spans="3:18" s="23" customFormat="1">
      <c r="D54" s="746">
        <v>1</v>
      </c>
      <c r="E54" s="746"/>
      <c r="F54" s="746"/>
      <c r="G54" s="749"/>
      <c r="H54" s="151" t="s">
        <v>528</v>
      </c>
      <c r="I54" s="169">
        <f ca="1">OFFSET(Cost_Ingredients!$M$117,$D54,0)</f>
        <v>0</v>
      </c>
      <c r="J54" s="64">
        <v>0</v>
      </c>
      <c r="L54" s="169">
        <f ca="1">OFFSET(Cost_Ingredients!N$117,$D54,0)*$J54</f>
        <v>0</v>
      </c>
      <c r="M54" s="169">
        <f ca="1">OFFSET(Cost_Ingredients!O$117,$D54,0)*$J54</f>
        <v>0</v>
      </c>
      <c r="N54" s="176">
        <f ca="1">OFFSET(Cost_Ingredients!P$117,$D54,0)*$J54</f>
        <v>0</v>
      </c>
      <c r="O54" s="176">
        <f ca="1">OFFSET(Cost_Ingredients!Q$117,$D54,0)*$J54</f>
        <v>0</v>
      </c>
      <c r="P54" s="151"/>
    </row>
    <row r="55" spans="3:18" s="23" customFormat="1">
      <c r="D55" s="746">
        <v>1</v>
      </c>
      <c r="E55" s="746"/>
      <c r="F55" s="746"/>
      <c r="G55" s="749"/>
      <c r="H55" s="151" t="s">
        <v>528</v>
      </c>
      <c r="I55" s="169">
        <f ca="1">OFFSET(Cost_Ingredients!$M$117,$D55,0)</f>
        <v>0</v>
      </c>
      <c r="J55" s="64">
        <v>0</v>
      </c>
      <c r="L55" s="169">
        <f ca="1">OFFSET(Cost_Ingredients!N$117,$D55,0)*$J55</f>
        <v>0</v>
      </c>
      <c r="M55" s="169">
        <f ca="1">OFFSET(Cost_Ingredients!O$117,$D55,0)*$J55</f>
        <v>0</v>
      </c>
      <c r="N55" s="176">
        <f ca="1">OFFSET(Cost_Ingredients!P$117,$D55,0)*$J55</f>
        <v>0</v>
      </c>
      <c r="O55" s="176">
        <f ca="1">OFFSET(Cost_Ingredients!Q$117,$D55,0)*$J55</f>
        <v>0</v>
      </c>
      <c r="P55" s="151"/>
    </row>
    <row r="56" spans="3:18" s="23" customFormat="1">
      <c r="D56" s="746">
        <v>1</v>
      </c>
      <c r="E56" s="746"/>
      <c r="F56" s="746"/>
      <c r="G56" s="749"/>
      <c r="H56" s="172" t="s">
        <v>528</v>
      </c>
      <c r="I56" s="169">
        <f ca="1">OFFSET(Cost_Ingredients!$M$117,$D56,0)</f>
        <v>0</v>
      </c>
      <c r="J56" s="173">
        <v>0</v>
      </c>
      <c r="L56" s="169">
        <f ca="1">OFFSET(Cost_Ingredients!N$117,$D56,0)*$J56</f>
        <v>0</v>
      </c>
      <c r="M56" s="169">
        <f ca="1">OFFSET(Cost_Ingredients!O$117,$D56,0)*$J56</f>
        <v>0</v>
      </c>
      <c r="N56" s="176">
        <f ca="1">OFFSET(Cost_Ingredients!P$117,$D56,0)*$J56</f>
        <v>0</v>
      </c>
      <c r="O56" s="176">
        <f ca="1">OFFSET(Cost_Ingredients!Q$117,$D56,0)*$J56</f>
        <v>0</v>
      </c>
      <c r="P56" s="172"/>
    </row>
    <row r="57" spans="3:18" s="23" customFormat="1">
      <c r="D57" s="12"/>
      <c r="E57" s="12"/>
      <c r="F57" s="12"/>
      <c r="G57" s="12"/>
      <c r="H57" s="156"/>
      <c r="I57" s="156"/>
      <c r="J57" s="69"/>
      <c r="L57" s="181">
        <f ca="1">SUM(L48:L56)</f>
        <v>1</v>
      </c>
      <c r="M57" s="181">
        <f ca="1">SUM(M48:M56)</f>
        <v>6</v>
      </c>
      <c r="N57" s="187">
        <f ca="1">SUM(N48:N56)</f>
        <v>6.6666666666666671E-3</v>
      </c>
      <c r="O57" s="187">
        <f ca="1">SUM(O48:O56)</f>
        <v>0.04</v>
      </c>
      <c r="P57" s="156"/>
    </row>
    <row r="58" spans="3:18">
      <c r="K58" s="23"/>
      <c r="Q58" s="23"/>
      <c r="R58" s="23"/>
    </row>
    <row r="59" spans="3:18" s="23" customFormat="1">
      <c r="C59" s="153" t="str">
        <f>FLU_LU!$D$281</f>
        <v>Other Direct Costs (Recurrent)</v>
      </c>
    </row>
    <row r="60" spans="3:18" s="23" customFormat="1" ht="28.8">
      <c r="D60" s="733" t="s">
        <v>100</v>
      </c>
      <c r="E60" s="733"/>
      <c r="F60" s="733"/>
      <c r="G60" s="733"/>
      <c r="H60" s="142" t="s">
        <v>274</v>
      </c>
      <c r="I60" s="152" t="s">
        <v>63</v>
      </c>
      <c r="J60" s="152" t="s">
        <v>67</v>
      </c>
      <c r="L60" s="28" t="str">
        <f>"Financial Price ("&amp;FLU_LU!$D$79&amp;")"</f>
        <v>Financial Price (GOZ)</v>
      </c>
      <c r="M60" s="28" t="str">
        <f>"Economic Price ("&amp;FLU_LU!$D$79&amp;")"</f>
        <v>Economic Price (GOZ)</v>
      </c>
      <c r="N60" s="28" t="str">
        <f>"Financial Price ("&amp;FLU_LU!$D$78&amp;")"</f>
        <v>Financial Price (USD)</v>
      </c>
      <c r="O60" s="28" t="str">
        <f>"Economic Price ("&amp;FLU_LU!$D$78&amp;")"</f>
        <v>Economic Price (USD)</v>
      </c>
      <c r="P60" s="152" t="s">
        <v>68</v>
      </c>
    </row>
    <row r="61" spans="3:18" s="23" customFormat="1">
      <c r="D61" s="746">
        <v>2</v>
      </c>
      <c r="E61" s="746"/>
      <c r="F61" s="746"/>
      <c r="G61" s="749"/>
      <c r="H61" s="151" t="s">
        <v>153</v>
      </c>
      <c r="I61" s="169" t="str">
        <f ca="1">OFFSET(Cost_Ingredients!$M$146,$D61,0)</f>
        <v>litre</v>
      </c>
      <c r="J61" s="64">
        <v>300</v>
      </c>
      <c r="L61" s="169">
        <f ca="1">OFFSET(Cost_Ingredients!N$146,$D61,0)*$J61</f>
        <v>51000</v>
      </c>
      <c r="M61" s="169">
        <f ca="1">OFFSET(Cost_Ingredients!O$146,$D61,0)*$J61</f>
        <v>51000</v>
      </c>
      <c r="N61" s="176">
        <f ca="1">OFFSET(Cost_Ingredients!P$146,$D61,0)*$J61</f>
        <v>340</v>
      </c>
      <c r="O61" s="176">
        <f ca="1">OFFSET(Cost_Ingredients!Q$146,$D61,0)*$J61</f>
        <v>340</v>
      </c>
      <c r="P61" s="151"/>
    </row>
    <row r="62" spans="3:18" s="23" customFormat="1">
      <c r="D62" s="746">
        <v>1</v>
      </c>
      <c r="E62" s="746"/>
      <c r="F62" s="746"/>
      <c r="G62" s="749"/>
      <c r="H62" s="151" t="s">
        <v>153</v>
      </c>
      <c r="I62" s="169">
        <f ca="1">OFFSET(Cost_Ingredients!$M$146,$D62,0)</f>
        <v>0</v>
      </c>
      <c r="J62" s="64"/>
      <c r="L62" s="169">
        <f ca="1">OFFSET(Cost_Ingredients!N$146,$D62,0)*$J62</f>
        <v>0</v>
      </c>
      <c r="M62" s="169">
        <f ca="1">OFFSET(Cost_Ingredients!O$146,$D62,0)*$J62</f>
        <v>0</v>
      </c>
      <c r="N62" s="176">
        <f ca="1">OFFSET(Cost_Ingredients!P$146,$D62,0)*$J62</f>
        <v>0</v>
      </c>
      <c r="O62" s="176">
        <f ca="1">OFFSET(Cost_Ingredients!Q$146,$D62,0)*$J62</f>
        <v>0</v>
      </c>
      <c r="P62" s="151"/>
    </row>
    <row r="63" spans="3:18" s="23" customFormat="1">
      <c r="D63" s="746">
        <v>1</v>
      </c>
      <c r="E63" s="746"/>
      <c r="F63" s="746"/>
      <c r="G63" s="749"/>
      <c r="H63" s="151" t="s">
        <v>153</v>
      </c>
      <c r="I63" s="169">
        <f ca="1">OFFSET(Cost_Ingredients!$M$146,$D63,0)</f>
        <v>0</v>
      </c>
      <c r="J63" s="64">
        <v>0</v>
      </c>
      <c r="L63" s="169">
        <f ca="1">OFFSET(Cost_Ingredients!N$146,$D63,0)*$J63</f>
        <v>0</v>
      </c>
      <c r="M63" s="169">
        <f ca="1">OFFSET(Cost_Ingredients!O$146,$D63,0)*$J63</f>
        <v>0</v>
      </c>
      <c r="N63" s="176">
        <f ca="1">OFFSET(Cost_Ingredients!P$146,$D63,0)*$J63</f>
        <v>0</v>
      </c>
      <c r="O63" s="176">
        <f ca="1">OFFSET(Cost_Ingredients!Q$146,$D63,0)*$J63</f>
        <v>0</v>
      </c>
      <c r="P63" s="151"/>
    </row>
    <row r="64" spans="3:18" s="23" customFormat="1">
      <c r="D64" s="746">
        <v>1</v>
      </c>
      <c r="E64" s="746"/>
      <c r="F64" s="746"/>
      <c r="G64" s="749"/>
      <c r="H64" s="151" t="s">
        <v>153</v>
      </c>
      <c r="I64" s="169">
        <f ca="1">OFFSET(Cost_Ingredients!$M$146,$D64,0)</f>
        <v>0</v>
      </c>
      <c r="J64" s="64">
        <v>0</v>
      </c>
      <c r="L64" s="169">
        <f ca="1">OFFSET(Cost_Ingredients!N$146,$D64,0)*$J64</f>
        <v>0</v>
      </c>
      <c r="M64" s="169">
        <f ca="1">OFFSET(Cost_Ingredients!O$146,$D64,0)*$J64</f>
        <v>0</v>
      </c>
      <c r="N64" s="176">
        <f ca="1">OFFSET(Cost_Ingredients!P$146,$D64,0)*$J64</f>
        <v>0</v>
      </c>
      <c r="O64" s="176">
        <f ca="1">OFFSET(Cost_Ingredients!Q$146,$D64,0)*$J64</f>
        <v>0</v>
      </c>
      <c r="P64" s="151"/>
    </row>
    <row r="65" spans="3:18" s="23" customFormat="1">
      <c r="D65" s="746">
        <v>1</v>
      </c>
      <c r="E65" s="746"/>
      <c r="F65" s="746"/>
      <c r="G65" s="749"/>
      <c r="H65" s="151" t="s">
        <v>153</v>
      </c>
      <c r="I65" s="169">
        <f ca="1">OFFSET(Cost_Ingredients!$M$146,$D65,0)</f>
        <v>0</v>
      </c>
      <c r="J65" s="64">
        <v>0</v>
      </c>
      <c r="L65" s="169">
        <f ca="1">OFFSET(Cost_Ingredients!N$146,$D65,0)*$J65</f>
        <v>0</v>
      </c>
      <c r="M65" s="169">
        <f ca="1">OFFSET(Cost_Ingredients!O$146,$D65,0)*$J65</f>
        <v>0</v>
      </c>
      <c r="N65" s="176">
        <f ca="1">OFFSET(Cost_Ingredients!P$146,$D65,0)*$J65</f>
        <v>0</v>
      </c>
      <c r="O65" s="176">
        <f ca="1">OFFSET(Cost_Ingredients!Q$146,$D65,0)*$J65</f>
        <v>0</v>
      </c>
      <c r="P65" s="151"/>
    </row>
    <row r="66" spans="3:18" s="23" customFormat="1">
      <c r="D66" s="746">
        <v>1</v>
      </c>
      <c r="E66" s="746"/>
      <c r="F66" s="746"/>
      <c r="G66" s="749"/>
      <c r="H66" s="151" t="s">
        <v>153</v>
      </c>
      <c r="I66" s="169">
        <f ca="1">OFFSET(Cost_Ingredients!$M$146,$D66,0)</f>
        <v>0</v>
      </c>
      <c r="J66" s="64">
        <v>0</v>
      </c>
      <c r="L66" s="169">
        <f ca="1">OFFSET(Cost_Ingredients!N$146,$D66,0)*$J66</f>
        <v>0</v>
      </c>
      <c r="M66" s="169">
        <f ca="1">OFFSET(Cost_Ingredients!O$146,$D66,0)*$J66</f>
        <v>0</v>
      </c>
      <c r="N66" s="176">
        <f ca="1">OFFSET(Cost_Ingredients!P$146,$D66,0)*$J66</f>
        <v>0</v>
      </c>
      <c r="O66" s="176">
        <f ca="1">OFFSET(Cost_Ingredients!Q$146,$D66,0)*$J66</f>
        <v>0</v>
      </c>
      <c r="P66" s="151"/>
    </row>
    <row r="67" spans="3:18" s="23" customFormat="1">
      <c r="D67" s="746">
        <v>1</v>
      </c>
      <c r="E67" s="746"/>
      <c r="F67" s="746"/>
      <c r="G67" s="749"/>
      <c r="H67" s="151" t="s">
        <v>153</v>
      </c>
      <c r="I67" s="169">
        <f ca="1">OFFSET(Cost_Ingredients!$M$146,$D67,0)</f>
        <v>0</v>
      </c>
      <c r="J67" s="64">
        <v>0</v>
      </c>
      <c r="L67" s="169">
        <f ca="1">OFFSET(Cost_Ingredients!N$146,$D67,0)*$J67</f>
        <v>0</v>
      </c>
      <c r="M67" s="169">
        <f ca="1">OFFSET(Cost_Ingredients!O$146,$D67,0)*$J67</f>
        <v>0</v>
      </c>
      <c r="N67" s="176">
        <f ca="1">OFFSET(Cost_Ingredients!P$146,$D67,0)*$J67</f>
        <v>0</v>
      </c>
      <c r="O67" s="176">
        <f ca="1">OFFSET(Cost_Ingredients!Q$146,$D67,0)*$J67</f>
        <v>0</v>
      </c>
      <c r="P67" s="151"/>
    </row>
    <row r="68" spans="3:18" s="23" customFormat="1">
      <c r="D68" s="746">
        <v>1</v>
      </c>
      <c r="E68" s="746"/>
      <c r="F68" s="746"/>
      <c r="G68" s="749"/>
      <c r="H68" s="151" t="s">
        <v>153</v>
      </c>
      <c r="I68" s="169">
        <f ca="1">OFFSET(Cost_Ingredients!$M$146,$D68,0)</f>
        <v>0</v>
      </c>
      <c r="J68" s="64">
        <v>0</v>
      </c>
      <c r="L68" s="169">
        <f ca="1">OFFSET(Cost_Ingredients!N$146,$D68,0)*$J68</f>
        <v>0</v>
      </c>
      <c r="M68" s="169">
        <f ca="1">OFFSET(Cost_Ingredients!O$146,$D68,0)*$J68</f>
        <v>0</v>
      </c>
      <c r="N68" s="176">
        <f ca="1">OFFSET(Cost_Ingredients!P$146,$D68,0)*$J68</f>
        <v>0</v>
      </c>
      <c r="O68" s="176">
        <f ca="1">OFFSET(Cost_Ingredients!Q$146,$D68,0)*$J68</f>
        <v>0</v>
      </c>
      <c r="P68" s="151"/>
    </row>
    <row r="69" spans="3:18" s="23" customFormat="1">
      <c r="D69" s="746">
        <v>1</v>
      </c>
      <c r="E69" s="746"/>
      <c r="F69" s="746"/>
      <c r="G69" s="749"/>
      <c r="H69" s="172" t="s">
        <v>153</v>
      </c>
      <c r="I69" s="169">
        <f ca="1">OFFSET(Cost_Ingredients!$M$146,$D69,0)</f>
        <v>0</v>
      </c>
      <c r="J69" s="173">
        <v>0</v>
      </c>
      <c r="L69" s="169">
        <f ca="1">OFFSET(Cost_Ingredients!N$146,$D69,0)*$J69</f>
        <v>0</v>
      </c>
      <c r="M69" s="169">
        <f ca="1">OFFSET(Cost_Ingredients!O$146,$D69,0)*$J69</f>
        <v>0</v>
      </c>
      <c r="N69" s="176">
        <f ca="1">OFFSET(Cost_Ingredients!P$146,$D69,0)*$J69</f>
        <v>0</v>
      </c>
      <c r="O69" s="176">
        <f ca="1">OFFSET(Cost_Ingredients!Q$146,$D69,0)*$J69</f>
        <v>0</v>
      </c>
      <c r="P69" s="172"/>
    </row>
    <row r="70" spans="3:18" s="23" customFormat="1">
      <c r="D70" s="12"/>
      <c r="E70" s="12"/>
      <c r="F70" s="12"/>
      <c r="G70" s="12"/>
      <c r="H70" s="156"/>
      <c r="I70" s="156"/>
      <c r="J70" s="69"/>
      <c r="L70" s="181">
        <f ca="1">SUM(L61:L69)</f>
        <v>51000</v>
      </c>
      <c r="M70" s="181">
        <f ca="1">SUM(M61:M69)</f>
        <v>51000</v>
      </c>
      <c r="N70" s="187">
        <f ca="1">SUM(N61:N69)</f>
        <v>340</v>
      </c>
      <c r="O70" s="187">
        <f ca="1">SUM(O61:O69)</f>
        <v>340</v>
      </c>
      <c r="P70" s="156"/>
    </row>
    <row r="71" spans="3:18" s="23" customFormat="1"/>
    <row r="72" spans="3:18" ht="15" thickBot="1">
      <c r="C72" s="70" t="str">
        <f>"Total "&amp;FLU_LU!$D$378</f>
        <v>Total Other Recurrent Activity 1</v>
      </c>
      <c r="K72" s="23"/>
      <c r="L72" s="185">
        <f ca="1">SUM(L30,L44,L57,L70)</f>
        <v>56501</v>
      </c>
      <c r="M72" s="185">
        <f ca="1">SUM(M30,M44,M57,M70)</f>
        <v>98394.581818181818</v>
      </c>
      <c r="N72" s="184">
        <f ca="1">SUM(N30,N44,N57,N70)</f>
        <v>376.67333333333335</v>
      </c>
      <c r="O72" s="184">
        <f ca="1">SUM(O30,O44,O57,O70)</f>
        <v>655.9638787878788</v>
      </c>
      <c r="Q72" s="23"/>
      <c r="R72" s="23"/>
    </row>
    <row r="73" spans="3:18" ht="15" thickTop="1">
      <c r="K73" s="23"/>
      <c r="Q73" s="23"/>
      <c r="R73" s="23"/>
    </row>
    <row r="74" spans="3:18">
      <c r="Q74" s="23"/>
      <c r="R74" s="23"/>
    </row>
    <row r="75" spans="3:18" ht="15.6">
      <c r="C75" s="171" t="str">
        <f>"Detailed Cost Estimate: "&amp;FLU_LU!$D$379</f>
        <v>Detailed Cost Estimate: Other Recurrent Activity 2</v>
      </c>
      <c r="Q75" s="23"/>
      <c r="R75" s="23"/>
    </row>
    <row r="76" spans="3:18" ht="15.6">
      <c r="F76" s="111" t="s">
        <v>691</v>
      </c>
      <c r="H76" s="776" t="str">
        <f>Other!$G$17</f>
        <v>[No Scope Defined}</v>
      </c>
      <c r="I76" s="777"/>
      <c r="J76" s="777"/>
      <c r="K76" s="777"/>
      <c r="L76" s="777"/>
      <c r="M76" s="777"/>
      <c r="N76" s="777"/>
      <c r="O76" s="777"/>
      <c r="P76" s="778"/>
      <c r="Q76" s="23"/>
      <c r="R76" s="23"/>
    </row>
    <row r="77" spans="3:18">
      <c r="Q77" s="23"/>
      <c r="R77" s="23"/>
    </row>
    <row r="78" spans="3:18">
      <c r="Q78" s="23"/>
      <c r="R78" s="23"/>
    </row>
    <row r="79" spans="3:18">
      <c r="C79" s="160" t="str">
        <f>FLU_LU!$D$278</f>
        <v xml:space="preserve">Personnel </v>
      </c>
      <c r="Q79" s="23"/>
      <c r="R79" s="23"/>
    </row>
    <row r="80" spans="3:18" ht="43.2">
      <c r="D80" s="733" t="s">
        <v>100</v>
      </c>
      <c r="E80" s="733"/>
      <c r="F80" s="733"/>
      <c r="G80" s="733"/>
      <c r="H80" s="142" t="s">
        <v>274</v>
      </c>
      <c r="I80" s="72" t="s">
        <v>474</v>
      </c>
      <c r="J80" s="152" t="s">
        <v>67</v>
      </c>
      <c r="K80" s="72" t="s">
        <v>475</v>
      </c>
      <c r="L80" s="28" t="str">
        <f>"Financial Price ("&amp;FLU_LU!$D$79&amp;")"</f>
        <v>Financial Price (GOZ)</v>
      </c>
      <c r="M80" s="28" t="str">
        <f>"Economic Price ("&amp;FLU_LU!$D$79&amp;")"</f>
        <v>Economic Price (GOZ)</v>
      </c>
      <c r="N80" s="28" t="str">
        <f>"Financial Price ("&amp;FLU_LU!$D$78&amp;")"</f>
        <v>Financial Price (USD)</v>
      </c>
      <c r="O80" s="28" t="str">
        <f>"Economic Price ("&amp;FLU_LU!$D$78&amp;")"</f>
        <v>Economic Price (USD)</v>
      </c>
      <c r="P80" s="152" t="s">
        <v>68</v>
      </c>
      <c r="Q80" s="23"/>
      <c r="R80" s="23"/>
    </row>
    <row r="81" spans="4:16" s="23" customFormat="1">
      <c r="D81" s="746">
        <v>2</v>
      </c>
      <c r="E81" s="746"/>
      <c r="F81" s="746"/>
      <c r="G81" s="749"/>
      <c r="H81" s="151" t="s">
        <v>528</v>
      </c>
      <c r="I81" s="31">
        <v>1</v>
      </c>
      <c r="J81" s="64">
        <v>4</v>
      </c>
      <c r="K81" s="135">
        <f t="shared" ref="K81:K95" si="1">IF(I81=1,J81/FLU_DAYS_PER_MONTH,IF(I81=2,J81/FLU_HOURS_PER_MONTH,J81/FLU_MINUTES_PER_MONTH))</f>
        <v>0.18181818181818182</v>
      </c>
      <c r="L81" s="366">
        <f ca="1">OFFSET(Cost_Ingredients!$N$73,$D81,0)*$K81</f>
        <v>0</v>
      </c>
      <c r="M81" s="366">
        <f ca="1">OFFSET(Cost_Ingredients!$O$73,$D81,0)*$K81</f>
        <v>0</v>
      </c>
      <c r="N81" s="367">
        <f ca="1">OFFSET(Cost_Ingredients!$P$73,$D81,0)*$K81</f>
        <v>0</v>
      </c>
      <c r="O81" s="368">
        <f ca="1">OFFSET(Cost_Ingredients!$Q$73,$D81,0)*$K81</f>
        <v>0</v>
      </c>
      <c r="P81" s="335"/>
    </row>
    <row r="82" spans="4:16" s="23" customFormat="1">
      <c r="D82" s="746">
        <v>1</v>
      </c>
      <c r="E82" s="746"/>
      <c r="F82" s="746"/>
      <c r="G82" s="749"/>
      <c r="H82" s="151" t="s">
        <v>528</v>
      </c>
      <c r="I82" s="31">
        <v>1</v>
      </c>
      <c r="J82" s="64">
        <v>3</v>
      </c>
      <c r="K82" s="135">
        <f t="shared" si="1"/>
        <v>0.13636363636363635</v>
      </c>
      <c r="L82" s="366">
        <f ca="1">OFFSET(Cost_Ingredients!$N$73,$D82,0)*$K82</f>
        <v>0</v>
      </c>
      <c r="M82" s="366">
        <f ca="1">OFFSET(Cost_Ingredients!$O$73,$D82,0)*$K82</f>
        <v>0</v>
      </c>
      <c r="N82" s="367">
        <f ca="1">OFFSET(Cost_Ingredients!$P$73,$D82,0)*$K82</f>
        <v>0</v>
      </c>
      <c r="O82" s="368">
        <f ca="1">OFFSET(Cost_Ingredients!$Q$73,$D82,0)*$K82</f>
        <v>0</v>
      </c>
      <c r="P82" s="335"/>
    </row>
    <row r="83" spans="4:16" s="23" customFormat="1">
      <c r="D83" s="746">
        <v>1</v>
      </c>
      <c r="E83" s="746"/>
      <c r="F83" s="746"/>
      <c r="G83" s="749"/>
      <c r="H83" s="151" t="s">
        <v>528</v>
      </c>
      <c r="I83" s="31">
        <v>1</v>
      </c>
      <c r="J83" s="64">
        <v>1</v>
      </c>
      <c r="K83" s="135">
        <f t="shared" si="1"/>
        <v>4.5454545454545456E-2</v>
      </c>
      <c r="L83" s="366">
        <f ca="1">OFFSET(Cost_Ingredients!$N$73,$D83,0)*$K83</f>
        <v>0</v>
      </c>
      <c r="M83" s="366">
        <f ca="1">OFFSET(Cost_Ingredients!$O$73,$D83,0)*$K83</f>
        <v>0</v>
      </c>
      <c r="N83" s="367">
        <f ca="1">OFFSET(Cost_Ingredients!$P$73,$D83,0)*$K83</f>
        <v>0</v>
      </c>
      <c r="O83" s="368">
        <f ca="1">OFFSET(Cost_Ingredients!$Q$73,$D83,0)*$K83</f>
        <v>0</v>
      </c>
      <c r="P83" s="335"/>
    </row>
    <row r="84" spans="4:16" s="23" customFormat="1">
      <c r="D84" s="746">
        <v>1</v>
      </c>
      <c r="E84" s="746"/>
      <c r="F84" s="746"/>
      <c r="G84" s="749"/>
      <c r="H84" s="151" t="s">
        <v>528</v>
      </c>
      <c r="I84" s="31">
        <v>1</v>
      </c>
      <c r="J84" s="64">
        <v>4</v>
      </c>
      <c r="K84" s="135">
        <f t="shared" si="1"/>
        <v>0.18181818181818182</v>
      </c>
      <c r="L84" s="366">
        <f ca="1">OFFSET(Cost_Ingredients!$N$73,$D84,0)*$K84</f>
        <v>0</v>
      </c>
      <c r="M84" s="366">
        <f ca="1">OFFSET(Cost_Ingredients!$O$73,$D84,0)*$K84</f>
        <v>0</v>
      </c>
      <c r="N84" s="367">
        <f ca="1">OFFSET(Cost_Ingredients!$P$73,$D84,0)*$K84</f>
        <v>0</v>
      </c>
      <c r="O84" s="368">
        <f ca="1">OFFSET(Cost_Ingredients!$Q$73,$D84,0)*$K84</f>
        <v>0</v>
      </c>
      <c r="P84" s="335"/>
    </row>
    <row r="85" spans="4:16" s="23" customFormat="1">
      <c r="D85" s="746">
        <v>1</v>
      </c>
      <c r="E85" s="746"/>
      <c r="F85" s="746"/>
      <c r="G85" s="749"/>
      <c r="H85" s="151" t="s">
        <v>528</v>
      </c>
      <c r="I85" s="31">
        <v>1</v>
      </c>
      <c r="J85" s="64">
        <v>1</v>
      </c>
      <c r="K85" s="135">
        <f t="shared" si="1"/>
        <v>4.5454545454545456E-2</v>
      </c>
      <c r="L85" s="366">
        <f ca="1">OFFSET(Cost_Ingredients!$N$73,$D85,0)*$K85</f>
        <v>0</v>
      </c>
      <c r="M85" s="366">
        <f ca="1">OFFSET(Cost_Ingredients!$O$73,$D85,0)*$K85</f>
        <v>0</v>
      </c>
      <c r="N85" s="367">
        <f ca="1">OFFSET(Cost_Ingredients!$P$73,$D85,0)*$K85</f>
        <v>0</v>
      </c>
      <c r="O85" s="368">
        <f ca="1">OFFSET(Cost_Ingredients!$Q$73,$D85,0)*$K85</f>
        <v>0</v>
      </c>
      <c r="P85" s="335"/>
    </row>
    <row r="86" spans="4:16" s="23" customFormat="1">
      <c r="D86" s="746">
        <v>1</v>
      </c>
      <c r="E86" s="746"/>
      <c r="F86" s="746"/>
      <c r="G86" s="749"/>
      <c r="H86" s="151" t="s">
        <v>528</v>
      </c>
      <c r="I86" s="31">
        <v>1</v>
      </c>
      <c r="J86" s="64">
        <v>0</v>
      </c>
      <c r="K86" s="135">
        <f t="shared" si="1"/>
        <v>0</v>
      </c>
      <c r="L86" s="366">
        <f ca="1">OFFSET(Cost_Ingredients!$N$73,$D86,0)*$K86</f>
        <v>0</v>
      </c>
      <c r="M86" s="366">
        <f ca="1">OFFSET(Cost_Ingredients!$O$73,$D86,0)*$K86</f>
        <v>0</v>
      </c>
      <c r="N86" s="367">
        <f ca="1">OFFSET(Cost_Ingredients!$P$73,$D86,0)*$K86</f>
        <v>0</v>
      </c>
      <c r="O86" s="368">
        <f ca="1">OFFSET(Cost_Ingredients!$Q$73,$D86,0)*$K86</f>
        <v>0</v>
      </c>
      <c r="P86" s="335"/>
    </row>
    <row r="87" spans="4:16" s="23" customFormat="1">
      <c r="D87" s="746">
        <v>1</v>
      </c>
      <c r="E87" s="746"/>
      <c r="F87" s="746"/>
      <c r="G87" s="749"/>
      <c r="H87" s="151" t="s">
        <v>528</v>
      </c>
      <c r="I87" s="31">
        <v>1</v>
      </c>
      <c r="J87" s="64">
        <v>0</v>
      </c>
      <c r="K87" s="135">
        <f t="shared" si="1"/>
        <v>0</v>
      </c>
      <c r="L87" s="366">
        <f ca="1">OFFSET(Cost_Ingredients!$N$73,$D87,0)*$K87</f>
        <v>0</v>
      </c>
      <c r="M87" s="366">
        <f ca="1">OFFSET(Cost_Ingredients!$O$73,$D87,0)*$K87</f>
        <v>0</v>
      </c>
      <c r="N87" s="367">
        <f ca="1">OFFSET(Cost_Ingredients!$P$73,$D87,0)*$K87</f>
        <v>0</v>
      </c>
      <c r="O87" s="368">
        <f ca="1">OFFSET(Cost_Ingredients!$Q$73,$D87,0)*$K87</f>
        <v>0</v>
      </c>
      <c r="P87" s="335"/>
    </row>
    <row r="88" spans="4:16" s="23" customFormat="1">
      <c r="D88" s="746">
        <v>1</v>
      </c>
      <c r="E88" s="746"/>
      <c r="F88" s="746"/>
      <c r="G88" s="749"/>
      <c r="H88" s="151" t="s">
        <v>528</v>
      </c>
      <c r="I88" s="31">
        <v>1</v>
      </c>
      <c r="J88" s="64">
        <v>0</v>
      </c>
      <c r="K88" s="135">
        <f t="shared" si="1"/>
        <v>0</v>
      </c>
      <c r="L88" s="366">
        <f ca="1">OFFSET(Cost_Ingredients!$N$73,$D88,0)*$K88</f>
        <v>0</v>
      </c>
      <c r="M88" s="366">
        <f ca="1">OFFSET(Cost_Ingredients!$O$73,$D88,0)*$K88</f>
        <v>0</v>
      </c>
      <c r="N88" s="367">
        <f ca="1">OFFSET(Cost_Ingredients!$P$73,$D88,0)*$K88</f>
        <v>0</v>
      </c>
      <c r="O88" s="368">
        <f ca="1">OFFSET(Cost_Ingredients!$Q$73,$D88,0)*$K88</f>
        <v>0</v>
      </c>
      <c r="P88" s="335"/>
    </row>
    <row r="89" spans="4:16" s="23" customFormat="1">
      <c r="D89" s="746">
        <v>1</v>
      </c>
      <c r="E89" s="746"/>
      <c r="F89" s="746"/>
      <c r="G89" s="749"/>
      <c r="H89" s="151" t="s">
        <v>528</v>
      </c>
      <c r="I89" s="31">
        <v>1</v>
      </c>
      <c r="J89" s="64">
        <v>0</v>
      </c>
      <c r="K89" s="135">
        <f t="shared" si="1"/>
        <v>0</v>
      </c>
      <c r="L89" s="366">
        <f ca="1">OFFSET(Cost_Ingredients!$N$73,$D89,0)*$K89</f>
        <v>0</v>
      </c>
      <c r="M89" s="366">
        <f ca="1">OFFSET(Cost_Ingredients!$O$73,$D89,0)*$K89</f>
        <v>0</v>
      </c>
      <c r="N89" s="367">
        <f ca="1">OFFSET(Cost_Ingredients!$P$73,$D89,0)*$K89</f>
        <v>0</v>
      </c>
      <c r="O89" s="368">
        <f ca="1">OFFSET(Cost_Ingredients!$Q$73,$D89,0)*$K89</f>
        <v>0</v>
      </c>
      <c r="P89" s="335"/>
    </row>
    <row r="90" spans="4:16" s="23" customFormat="1">
      <c r="D90" s="746">
        <v>1</v>
      </c>
      <c r="E90" s="746"/>
      <c r="F90" s="746"/>
      <c r="G90" s="749"/>
      <c r="H90" s="151" t="s">
        <v>528</v>
      </c>
      <c r="I90" s="31">
        <v>1</v>
      </c>
      <c r="J90" s="64">
        <v>0</v>
      </c>
      <c r="K90" s="135">
        <f t="shared" si="1"/>
        <v>0</v>
      </c>
      <c r="L90" s="366">
        <f ca="1">OFFSET(Cost_Ingredients!$N$73,$D90,0)*$K90</f>
        <v>0</v>
      </c>
      <c r="M90" s="366">
        <f ca="1">OFFSET(Cost_Ingredients!$O$73,$D90,0)*$K90</f>
        <v>0</v>
      </c>
      <c r="N90" s="367">
        <f ca="1">OFFSET(Cost_Ingredients!$P$73,$D90,0)*$K90</f>
        <v>0</v>
      </c>
      <c r="O90" s="368">
        <f ca="1">OFFSET(Cost_Ingredients!$Q$73,$D90,0)*$K90</f>
        <v>0</v>
      </c>
      <c r="P90" s="335"/>
    </row>
    <row r="91" spans="4:16" s="23" customFormat="1">
      <c r="D91" s="746">
        <v>1</v>
      </c>
      <c r="E91" s="746"/>
      <c r="F91" s="746"/>
      <c r="G91" s="749"/>
      <c r="H91" s="151" t="s">
        <v>528</v>
      </c>
      <c r="I91" s="31">
        <v>1</v>
      </c>
      <c r="J91" s="64">
        <v>0</v>
      </c>
      <c r="K91" s="135">
        <f t="shared" si="1"/>
        <v>0</v>
      </c>
      <c r="L91" s="366">
        <f ca="1">OFFSET(Cost_Ingredients!$N$73,$D91,0)*$K91</f>
        <v>0</v>
      </c>
      <c r="M91" s="366">
        <f ca="1">OFFSET(Cost_Ingredients!$O$73,$D91,0)*$K91</f>
        <v>0</v>
      </c>
      <c r="N91" s="367">
        <f ca="1">OFFSET(Cost_Ingredients!$P$73,$D91,0)*$K91</f>
        <v>0</v>
      </c>
      <c r="O91" s="368">
        <f ca="1">OFFSET(Cost_Ingredients!$Q$73,$D91,0)*$K91</f>
        <v>0</v>
      </c>
      <c r="P91" s="335"/>
    </row>
    <row r="92" spans="4:16" s="23" customFormat="1">
      <c r="D92" s="746">
        <v>1</v>
      </c>
      <c r="E92" s="746"/>
      <c r="F92" s="746"/>
      <c r="G92" s="749"/>
      <c r="H92" s="151" t="s">
        <v>528</v>
      </c>
      <c r="I92" s="31">
        <v>1</v>
      </c>
      <c r="J92" s="64">
        <v>0</v>
      </c>
      <c r="K92" s="135">
        <f t="shared" si="1"/>
        <v>0</v>
      </c>
      <c r="L92" s="366">
        <f ca="1">OFFSET(Cost_Ingredients!$N$73,$D92,0)*$K92</f>
        <v>0</v>
      </c>
      <c r="M92" s="366">
        <f ca="1">OFFSET(Cost_Ingredients!$O$73,$D92,0)*$K92</f>
        <v>0</v>
      </c>
      <c r="N92" s="367">
        <f ca="1">OFFSET(Cost_Ingredients!$P$73,$D92,0)*$K92</f>
        <v>0</v>
      </c>
      <c r="O92" s="368">
        <f ca="1">OFFSET(Cost_Ingredients!$Q$73,$D92,0)*$K92</f>
        <v>0</v>
      </c>
      <c r="P92" s="335"/>
    </row>
    <row r="93" spans="4:16" s="23" customFormat="1">
      <c r="D93" s="746">
        <v>1</v>
      </c>
      <c r="E93" s="746"/>
      <c r="F93" s="746"/>
      <c r="G93" s="749"/>
      <c r="H93" s="151" t="s">
        <v>528</v>
      </c>
      <c r="I93" s="31">
        <v>1</v>
      </c>
      <c r="J93" s="64">
        <v>0</v>
      </c>
      <c r="K93" s="135">
        <f t="shared" si="1"/>
        <v>0</v>
      </c>
      <c r="L93" s="366">
        <f ca="1">OFFSET(Cost_Ingredients!$N$73,$D93,0)*$K93</f>
        <v>0</v>
      </c>
      <c r="M93" s="366">
        <f ca="1">OFFSET(Cost_Ingredients!$O$73,$D93,0)*$K93</f>
        <v>0</v>
      </c>
      <c r="N93" s="367">
        <f ca="1">OFFSET(Cost_Ingredients!$P$73,$D93,0)*$K93</f>
        <v>0</v>
      </c>
      <c r="O93" s="368">
        <f ca="1">OFFSET(Cost_Ingredients!$Q$73,$D93,0)*$K93</f>
        <v>0</v>
      </c>
      <c r="P93" s="335"/>
    </row>
    <row r="94" spans="4:16" s="23" customFormat="1">
      <c r="D94" s="746">
        <v>1</v>
      </c>
      <c r="E94" s="746"/>
      <c r="F94" s="746"/>
      <c r="G94" s="749"/>
      <c r="H94" s="151" t="s">
        <v>528</v>
      </c>
      <c r="I94" s="31">
        <v>1</v>
      </c>
      <c r="J94" s="64">
        <v>0</v>
      </c>
      <c r="K94" s="135">
        <f t="shared" si="1"/>
        <v>0</v>
      </c>
      <c r="L94" s="366">
        <f ca="1">OFFSET(Cost_Ingredients!$N$73,$D94,0)*$K94</f>
        <v>0</v>
      </c>
      <c r="M94" s="366">
        <f ca="1">OFFSET(Cost_Ingredients!$O$73,$D94,0)*$K94</f>
        <v>0</v>
      </c>
      <c r="N94" s="367">
        <f ca="1">OFFSET(Cost_Ingredients!$P$73,$D94,0)*$K94</f>
        <v>0</v>
      </c>
      <c r="O94" s="368">
        <f ca="1">OFFSET(Cost_Ingredients!$Q$73,$D94,0)*$K94</f>
        <v>0</v>
      </c>
      <c r="P94" s="335"/>
    </row>
    <row r="95" spans="4:16" s="23" customFormat="1">
      <c r="D95" s="746">
        <v>1</v>
      </c>
      <c r="E95" s="746"/>
      <c r="F95" s="746"/>
      <c r="G95" s="749"/>
      <c r="H95" s="151" t="s">
        <v>528</v>
      </c>
      <c r="I95" s="31">
        <v>1</v>
      </c>
      <c r="J95" s="173">
        <v>0</v>
      </c>
      <c r="K95" s="135">
        <f t="shared" si="1"/>
        <v>0</v>
      </c>
      <c r="L95" s="366">
        <f ca="1">OFFSET(Cost_Ingredients!$N$73,$D95,0)*$K95</f>
        <v>0</v>
      </c>
      <c r="M95" s="366">
        <f ca="1">OFFSET(Cost_Ingredients!$O$73,$D95,0)*$K95</f>
        <v>0</v>
      </c>
      <c r="N95" s="367">
        <f ca="1">OFFSET(Cost_Ingredients!$P$73,$D95,0)*$K95</f>
        <v>0</v>
      </c>
      <c r="O95" s="368">
        <f ca="1">OFFSET(Cost_Ingredients!$Q$73,$D95,0)*$K95</f>
        <v>0</v>
      </c>
      <c r="P95" s="370"/>
    </row>
    <row r="96" spans="4:16" s="23" customFormat="1">
      <c r="D96" s="12"/>
      <c r="E96" s="12"/>
      <c r="F96" s="12"/>
      <c r="G96" s="12"/>
      <c r="H96" s="152"/>
      <c r="I96" s="12"/>
      <c r="J96" s="69"/>
      <c r="K96" s="169">
        <f>SUM(K81:K95)</f>
        <v>0.59090909090909083</v>
      </c>
      <c r="L96" s="181">
        <f ca="1">SUM(L81:L95)</f>
        <v>0</v>
      </c>
      <c r="M96" s="181">
        <f ca="1">SUM(M81:M95)</f>
        <v>0</v>
      </c>
      <c r="N96" s="187">
        <f ca="1">SUM(N81:N95)</f>
        <v>0</v>
      </c>
      <c r="O96" s="187">
        <f ca="1">SUM(O81:O95)</f>
        <v>0</v>
      </c>
      <c r="P96" s="156"/>
    </row>
    <row r="97" spans="3:18">
      <c r="Q97" s="23"/>
      <c r="R97" s="23"/>
    </row>
    <row r="98" spans="3:18">
      <c r="C98" s="160" t="str">
        <f>FLU_LU!$D$279</f>
        <v>Allowances</v>
      </c>
      <c r="Q98" s="23"/>
      <c r="R98" s="23"/>
    </row>
    <row r="99" spans="3:18" ht="28.8">
      <c r="D99" s="733" t="s">
        <v>100</v>
      </c>
      <c r="E99" s="733"/>
      <c r="F99" s="733"/>
      <c r="G99" s="733"/>
      <c r="H99" s="730" t="s">
        <v>274</v>
      </c>
      <c r="I99" s="730"/>
      <c r="J99" s="152" t="s">
        <v>67</v>
      </c>
      <c r="L99" s="28" t="str">
        <f>"Financial Price ("&amp;FLU_LU!$D$79&amp;")"</f>
        <v>Financial Price (GOZ)</v>
      </c>
      <c r="M99" s="28" t="str">
        <f>"Economic Price ("&amp;FLU_LU!$D$79&amp;")"</f>
        <v>Economic Price (GOZ)</v>
      </c>
      <c r="N99" s="28" t="str">
        <f>"Financial Price ("&amp;FLU_LU!$D$78&amp;")"</f>
        <v>Financial Price (USD)</v>
      </c>
      <c r="O99" s="28" t="str">
        <f>"Economic Price ("&amp;FLU_LU!$D$78&amp;")"</f>
        <v>Economic Price (USD)</v>
      </c>
      <c r="P99" s="152" t="s">
        <v>68</v>
      </c>
      <c r="Q99" s="23"/>
      <c r="R99" s="23"/>
    </row>
    <row r="100" spans="3:18" s="23" customFormat="1">
      <c r="D100" s="746">
        <v>2</v>
      </c>
      <c r="E100" s="746"/>
      <c r="F100" s="746"/>
      <c r="G100" s="749"/>
      <c r="H100" s="667" t="s">
        <v>528</v>
      </c>
      <c r="I100" s="667"/>
      <c r="J100" s="117">
        <v>1</v>
      </c>
      <c r="L100" s="169">
        <f ca="1">OFFSET(Cost_Ingredients!N$103,$D100,0)*$J100</f>
        <v>5500</v>
      </c>
      <c r="M100" s="169">
        <f ca="1">OFFSET(Cost_Ingredients!O$103,$D100,0)*$J100</f>
        <v>5500</v>
      </c>
      <c r="N100" s="176">
        <f ca="1">OFFSET(Cost_Ingredients!P$103,$D100,0)*$J100</f>
        <v>36.666666666666664</v>
      </c>
      <c r="O100" s="176">
        <f ca="1">OFFSET(Cost_Ingredients!Q$103,$D100,0)*$J100</f>
        <v>36.666666666666664</v>
      </c>
      <c r="P100" s="151"/>
    </row>
    <row r="101" spans="3:18" s="23" customFormat="1">
      <c r="D101" s="746">
        <v>1</v>
      </c>
      <c r="E101" s="746"/>
      <c r="F101" s="746"/>
      <c r="G101" s="749"/>
      <c r="H101" s="667" t="s">
        <v>528</v>
      </c>
      <c r="I101" s="667"/>
      <c r="J101" s="117">
        <v>1</v>
      </c>
      <c r="L101" s="169">
        <f ca="1">OFFSET(Cost_Ingredients!N$103,$D101,0)*$J101</f>
        <v>0</v>
      </c>
      <c r="M101" s="169">
        <f ca="1">OFFSET(Cost_Ingredients!O$103,$D101,0)*$J101</f>
        <v>0</v>
      </c>
      <c r="N101" s="176">
        <f ca="1">OFFSET(Cost_Ingredients!P$103,$D101,0)*$J101</f>
        <v>0</v>
      </c>
      <c r="O101" s="176">
        <f ca="1">OFFSET(Cost_Ingredients!Q$103,$D101,0)*$J101</f>
        <v>0</v>
      </c>
      <c r="P101" s="151"/>
    </row>
    <row r="102" spans="3:18" s="23" customFormat="1">
      <c r="D102" s="746">
        <v>1</v>
      </c>
      <c r="E102" s="746"/>
      <c r="F102" s="746"/>
      <c r="G102" s="749"/>
      <c r="H102" s="667" t="s">
        <v>528</v>
      </c>
      <c r="I102" s="667"/>
      <c r="J102" s="117">
        <v>1</v>
      </c>
      <c r="L102" s="169">
        <f ca="1">OFFSET(Cost_Ingredients!N$103,$D102,0)*$J102</f>
        <v>0</v>
      </c>
      <c r="M102" s="169">
        <f ca="1">OFFSET(Cost_Ingredients!O$103,$D102,0)*$J102</f>
        <v>0</v>
      </c>
      <c r="N102" s="176">
        <f ca="1">OFFSET(Cost_Ingredients!P$103,$D102,0)*$J102</f>
        <v>0</v>
      </c>
      <c r="O102" s="176">
        <f ca="1">OFFSET(Cost_Ingredients!Q$103,$D102,0)*$J102</f>
        <v>0</v>
      </c>
      <c r="P102" s="151"/>
    </row>
    <row r="103" spans="3:18" s="23" customFormat="1">
      <c r="D103" s="746">
        <v>1</v>
      </c>
      <c r="E103" s="746"/>
      <c r="F103" s="746"/>
      <c r="G103" s="749"/>
      <c r="H103" s="667" t="s">
        <v>528</v>
      </c>
      <c r="I103" s="667"/>
      <c r="J103" s="117">
        <v>1</v>
      </c>
      <c r="L103" s="169">
        <f ca="1">OFFSET(Cost_Ingredients!N$103,$D103,0)*$J103</f>
        <v>0</v>
      </c>
      <c r="M103" s="169">
        <f ca="1">OFFSET(Cost_Ingredients!O$103,$D103,0)*$J103</f>
        <v>0</v>
      </c>
      <c r="N103" s="176">
        <f ca="1">OFFSET(Cost_Ingredients!P$103,$D103,0)*$J103</f>
        <v>0</v>
      </c>
      <c r="O103" s="176">
        <f ca="1">OFFSET(Cost_Ingredients!Q$103,$D103,0)*$J103</f>
        <v>0</v>
      </c>
      <c r="P103" s="151"/>
    </row>
    <row r="104" spans="3:18" s="23" customFormat="1">
      <c r="D104" s="746">
        <v>1</v>
      </c>
      <c r="E104" s="746"/>
      <c r="F104" s="746"/>
      <c r="G104" s="749"/>
      <c r="H104" s="667" t="s">
        <v>528</v>
      </c>
      <c r="I104" s="667"/>
      <c r="J104" s="117">
        <v>1</v>
      </c>
      <c r="L104" s="169">
        <f ca="1">OFFSET(Cost_Ingredients!N$103,$D104,0)*$J104</f>
        <v>0</v>
      </c>
      <c r="M104" s="169">
        <f ca="1">OFFSET(Cost_Ingredients!O$103,$D104,0)*$J104</f>
        <v>0</v>
      </c>
      <c r="N104" s="176">
        <f ca="1">OFFSET(Cost_Ingredients!P$103,$D104,0)*$J104</f>
        <v>0</v>
      </c>
      <c r="O104" s="176">
        <f ca="1">OFFSET(Cost_Ingredients!Q$103,$D104,0)*$J104</f>
        <v>0</v>
      </c>
      <c r="P104" s="151"/>
    </row>
    <row r="105" spans="3:18" s="23" customFormat="1">
      <c r="D105" s="746">
        <v>1</v>
      </c>
      <c r="E105" s="746"/>
      <c r="F105" s="746"/>
      <c r="G105" s="749"/>
      <c r="H105" s="667" t="s">
        <v>528</v>
      </c>
      <c r="I105" s="667"/>
      <c r="J105" s="117">
        <v>0</v>
      </c>
      <c r="L105" s="169">
        <f ca="1">OFFSET(Cost_Ingredients!N$103,$D105,0)*$J105</f>
        <v>0</v>
      </c>
      <c r="M105" s="169">
        <f ca="1">OFFSET(Cost_Ingredients!O$103,$D105,0)*$J105</f>
        <v>0</v>
      </c>
      <c r="N105" s="176">
        <f ca="1">OFFSET(Cost_Ingredients!P$103,$D105,0)*$J105</f>
        <v>0</v>
      </c>
      <c r="O105" s="176">
        <f ca="1">OFFSET(Cost_Ingredients!Q$103,$D105,0)*$J105</f>
        <v>0</v>
      </c>
      <c r="P105" s="151"/>
    </row>
    <row r="106" spans="3:18" s="23" customFormat="1">
      <c r="D106" s="746">
        <v>1</v>
      </c>
      <c r="E106" s="746"/>
      <c r="F106" s="746"/>
      <c r="G106" s="749"/>
      <c r="H106" s="667" t="s">
        <v>528</v>
      </c>
      <c r="I106" s="667"/>
      <c r="J106" s="117">
        <v>0</v>
      </c>
      <c r="L106" s="169">
        <f ca="1">OFFSET(Cost_Ingredients!N$103,$D106,0)*$J106</f>
        <v>0</v>
      </c>
      <c r="M106" s="169">
        <f ca="1">OFFSET(Cost_Ingredients!O$103,$D106,0)*$J106</f>
        <v>0</v>
      </c>
      <c r="N106" s="176">
        <f ca="1">OFFSET(Cost_Ingredients!P$103,$D106,0)*$J106</f>
        <v>0</v>
      </c>
      <c r="O106" s="176">
        <f ca="1">OFFSET(Cost_Ingredients!Q$103,$D106,0)*$J106</f>
        <v>0</v>
      </c>
      <c r="P106" s="151"/>
    </row>
    <row r="107" spans="3:18" s="23" customFormat="1">
      <c r="D107" s="746">
        <v>1</v>
      </c>
      <c r="E107" s="746"/>
      <c r="F107" s="746"/>
      <c r="G107" s="749"/>
      <c r="H107" s="667" t="s">
        <v>528</v>
      </c>
      <c r="I107" s="667"/>
      <c r="J107" s="117">
        <v>0</v>
      </c>
      <c r="L107" s="169">
        <f ca="1">OFFSET(Cost_Ingredients!N$103,$D107,0)*$J107</f>
        <v>0</v>
      </c>
      <c r="M107" s="169">
        <f ca="1">OFFSET(Cost_Ingredients!O$103,$D107,0)*$J107</f>
        <v>0</v>
      </c>
      <c r="N107" s="176">
        <f ca="1">OFFSET(Cost_Ingredients!P$103,$D107,0)*$J107</f>
        <v>0</v>
      </c>
      <c r="O107" s="176">
        <f ca="1">OFFSET(Cost_Ingredients!Q$103,$D107,0)*$J107</f>
        <v>0</v>
      </c>
      <c r="P107" s="151"/>
    </row>
    <row r="108" spans="3:18" s="23" customFormat="1">
      <c r="D108" s="746">
        <v>1</v>
      </c>
      <c r="E108" s="746"/>
      <c r="F108" s="746"/>
      <c r="G108" s="749"/>
      <c r="H108" s="667" t="s">
        <v>528</v>
      </c>
      <c r="I108" s="667"/>
      <c r="J108" s="117">
        <v>0</v>
      </c>
      <c r="L108" s="169">
        <f ca="1">OFFSET(Cost_Ingredients!N$103,$D108,0)*$J108</f>
        <v>0</v>
      </c>
      <c r="M108" s="169">
        <f ca="1">OFFSET(Cost_Ingredients!O$103,$D108,0)*$J108</f>
        <v>0</v>
      </c>
      <c r="N108" s="176">
        <f ca="1">OFFSET(Cost_Ingredients!P$103,$D108,0)*$J108</f>
        <v>0</v>
      </c>
      <c r="O108" s="176">
        <f ca="1">OFFSET(Cost_Ingredients!Q$103,$D108,0)*$J108</f>
        <v>0</v>
      </c>
      <c r="P108" s="151"/>
    </row>
    <row r="109" spans="3:18" s="23" customFormat="1">
      <c r="D109" s="746">
        <v>1</v>
      </c>
      <c r="E109" s="746"/>
      <c r="F109" s="746"/>
      <c r="G109" s="749"/>
      <c r="H109" s="745" t="s">
        <v>528</v>
      </c>
      <c r="I109" s="745"/>
      <c r="J109" s="207">
        <v>0</v>
      </c>
      <c r="L109" s="169">
        <f ca="1">OFFSET(Cost_Ingredients!N$103,$D109,0)*$J109</f>
        <v>0</v>
      </c>
      <c r="M109" s="169">
        <f ca="1">OFFSET(Cost_Ingredients!O$103,$D109,0)*$J109</f>
        <v>0</v>
      </c>
      <c r="N109" s="176">
        <f ca="1">OFFSET(Cost_Ingredients!P$103,$D109,0)*$J109</f>
        <v>0</v>
      </c>
      <c r="O109" s="176">
        <f ca="1">OFFSET(Cost_Ingredients!Q$103,$D109,0)*$J109</f>
        <v>0</v>
      </c>
      <c r="P109" s="172"/>
    </row>
    <row r="110" spans="3:18" s="23" customFormat="1">
      <c r="D110" s="12"/>
      <c r="E110" s="12"/>
      <c r="F110" s="12"/>
      <c r="G110" s="12"/>
      <c r="H110" s="156"/>
      <c r="I110" s="156"/>
      <c r="J110" s="69"/>
      <c r="L110" s="181">
        <f ca="1">SUM(L100:L109)</f>
        <v>5500</v>
      </c>
      <c r="M110" s="181">
        <f ca="1">SUM(M100:M109)</f>
        <v>5500</v>
      </c>
      <c r="N110" s="187">
        <f ca="1">SUM(N100:N109)</f>
        <v>36.666666666666664</v>
      </c>
      <c r="O110" s="187">
        <f ca="1">SUM(O100:O109)</f>
        <v>36.666666666666664</v>
      </c>
      <c r="P110" s="156"/>
    </row>
    <row r="111" spans="3:18">
      <c r="Q111" s="23"/>
      <c r="R111" s="23"/>
    </row>
    <row r="112" spans="3:18">
      <c r="C112" s="160" t="str">
        <f>FLU_LU!$D$280</f>
        <v>Supplies &amp; Materials</v>
      </c>
      <c r="Q112" s="23"/>
      <c r="R112" s="23"/>
    </row>
    <row r="113" spans="3:18" ht="28.8">
      <c r="D113" s="733" t="s">
        <v>100</v>
      </c>
      <c r="E113" s="733"/>
      <c r="F113" s="733"/>
      <c r="G113" s="733"/>
      <c r="H113" s="142" t="s">
        <v>274</v>
      </c>
      <c r="I113" s="152" t="s">
        <v>63</v>
      </c>
      <c r="J113" s="152" t="s">
        <v>67</v>
      </c>
      <c r="L113" s="28" t="str">
        <f>"Financial Price ("&amp;FLU_LU!$D$79&amp;")"</f>
        <v>Financial Price (GOZ)</v>
      </c>
      <c r="M113" s="28" t="str">
        <f>"Economic Price ("&amp;FLU_LU!$D$79&amp;")"</f>
        <v>Economic Price (GOZ)</v>
      </c>
      <c r="N113" s="28" t="str">
        <f>"Financial Price ("&amp;FLU_LU!$D$78&amp;")"</f>
        <v>Financial Price (USD)</v>
      </c>
      <c r="O113" s="28" t="str">
        <f>"Economic Price ("&amp;FLU_LU!$D$78&amp;")"</f>
        <v>Economic Price (USD)</v>
      </c>
      <c r="P113" s="152" t="s">
        <v>68</v>
      </c>
      <c r="Q113" s="23"/>
      <c r="R113" s="23"/>
    </row>
    <row r="114" spans="3:18" s="23" customFormat="1">
      <c r="D114" s="746">
        <v>3</v>
      </c>
      <c r="E114" s="746"/>
      <c r="F114" s="746"/>
      <c r="G114" s="749"/>
      <c r="H114" s="151" t="s">
        <v>528</v>
      </c>
      <c r="I114" s="169" t="str">
        <f ca="1">OFFSET(Cost_Ingredients!$M$117,$D114,0)</f>
        <v>pz</v>
      </c>
      <c r="J114" s="64">
        <v>1</v>
      </c>
      <c r="L114" s="169">
        <f ca="1">OFFSET(Cost_Ingredients!N$117,$D114,0)*$J114</f>
        <v>1</v>
      </c>
      <c r="M114" s="169">
        <f ca="1">OFFSET(Cost_Ingredients!O$117,$D114,0)*$J114</f>
        <v>6</v>
      </c>
      <c r="N114" s="176">
        <f ca="1">OFFSET(Cost_Ingredients!P$117,$D114,0)*$J114</f>
        <v>6.6666666666666671E-3</v>
      </c>
      <c r="O114" s="176">
        <f ca="1">OFFSET(Cost_Ingredients!Q$117,$D114,0)*$J114</f>
        <v>0.04</v>
      </c>
      <c r="P114" s="151"/>
    </row>
    <row r="115" spans="3:18" s="23" customFormat="1">
      <c r="D115" s="746">
        <v>1</v>
      </c>
      <c r="E115" s="746"/>
      <c r="F115" s="746"/>
      <c r="G115" s="749"/>
      <c r="H115" s="151" t="s">
        <v>528</v>
      </c>
      <c r="I115" s="169">
        <f ca="1">OFFSET(Cost_Ingredients!$M$117,$D115,0)</f>
        <v>0</v>
      </c>
      <c r="J115" s="64"/>
      <c r="L115" s="169">
        <f ca="1">OFFSET(Cost_Ingredients!N$117,$D115,0)*$J115</f>
        <v>0</v>
      </c>
      <c r="M115" s="169">
        <f ca="1">OFFSET(Cost_Ingredients!O$117,$D115,0)*$J115</f>
        <v>0</v>
      </c>
      <c r="N115" s="176">
        <f ca="1">OFFSET(Cost_Ingredients!P$117,$D115,0)*$J115</f>
        <v>0</v>
      </c>
      <c r="O115" s="176">
        <f ca="1">OFFSET(Cost_Ingredients!Q$117,$D115,0)*$J115</f>
        <v>0</v>
      </c>
      <c r="P115" s="151"/>
    </row>
    <row r="116" spans="3:18" s="23" customFormat="1">
      <c r="D116" s="746">
        <v>1</v>
      </c>
      <c r="E116" s="746"/>
      <c r="F116" s="746"/>
      <c r="G116" s="749"/>
      <c r="H116" s="151" t="s">
        <v>528</v>
      </c>
      <c r="I116" s="169">
        <f ca="1">OFFSET(Cost_Ingredients!$M$117,$D116,0)</f>
        <v>0</v>
      </c>
      <c r="J116" s="64">
        <v>0</v>
      </c>
      <c r="L116" s="169">
        <f ca="1">OFFSET(Cost_Ingredients!N$117,$D116,0)*$J116</f>
        <v>0</v>
      </c>
      <c r="M116" s="169">
        <f ca="1">OFFSET(Cost_Ingredients!O$117,$D116,0)*$J116</f>
        <v>0</v>
      </c>
      <c r="N116" s="176">
        <f ca="1">OFFSET(Cost_Ingredients!P$117,$D116,0)*$J116</f>
        <v>0</v>
      </c>
      <c r="O116" s="176">
        <f ca="1">OFFSET(Cost_Ingredients!Q$117,$D116,0)*$J116</f>
        <v>0</v>
      </c>
      <c r="P116" s="151"/>
    </row>
    <row r="117" spans="3:18" s="23" customFormat="1">
      <c r="D117" s="746">
        <v>1</v>
      </c>
      <c r="E117" s="746"/>
      <c r="F117" s="746"/>
      <c r="G117" s="749"/>
      <c r="H117" s="151" t="s">
        <v>528</v>
      </c>
      <c r="I117" s="169">
        <f ca="1">OFFSET(Cost_Ingredients!$M$117,$D117,0)</f>
        <v>0</v>
      </c>
      <c r="J117" s="64">
        <v>0</v>
      </c>
      <c r="L117" s="169">
        <f ca="1">OFFSET(Cost_Ingredients!N$117,$D117,0)*$J117</f>
        <v>0</v>
      </c>
      <c r="M117" s="169">
        <f ca="1">OFFSET(Cost_Ingredients!O$117,$D117,0)*$J117</f>
        <v>0</v>
      </c>
      <c r="N117" s="176">
        <f ca="1">OFFSET(Cost_Ingredients!P$117,$D117,0)*$J117</f>
        <v>0</v>
      </c>
      <c r="O117" s="176">
        <f ca="1">OFFSET(Cost_Ingredients!Q$117,$D117,0)*$J117</f>
        <v>0</v>
      </c>
      <c r="P117" s="151"/>
    </row>
    <row r="118" spans="3:18" s="23" customFormat="1">
      <c r="D118" s="746">
        <v>1</v>
      </c>
      <c r="E118" s="746"/>
      <c r="F118" s="746"/>
      <c r="G118" s="749"/>
      <c r="H118" s="151" t="s">
        <v>528</v>
      </c>
      <c r="I118" s="169">
        <f ca="1">OFFSET(Cost_Ingredients!$M$117,$D118,0)</f>
        <v>0</v>
      </c>
      <c r="J118" s="64">
        <v>0</v>
      </c>
      <c r="L118" s="169">
        <f ca="1">OFFSET(Cost_Ingredients!N$117,$D118,0)*$J118</f>
        <v>0</v>
      </c>
      <c r="M118" s="169">
        <f ca="1">OFFSET(Cost_Ingredients!O$117,$D118,0)*$J118</f>
        <v>0</v>
      </c>
      <c r="N118" s="176">
        <f ca="1">OFFSET(Cost_Ingredients!P$117,$D118,0)*$J118</f>
        <v>0</v>
      </c>
      <c r="O118" s="176">
        <f ca="1">OFFSET(Cost_Ingredients!Q$117,$D118,0)*$J118</f>
        <v>0</v>
      </c>
      <c r="P118" s="151"/>
    </row>
    <row r="119" spans="3:18" s="23" customFormat="1">
      <c r="D119" s="746">
        <v>1</v>
      </c>
      <c r="E119" s="746"/>
      <c r="F119" s="746"/>
      <c r="G119" s="749"/>
      <c r="H119" s="151" t="s">
        <v>528</v>
      </c>
      <c r="I119" s="169">
        <f ca="1">OFFSET(Cost_Ingredients!$M$117,$D119,0)</f>
        <v>0</v>
      </c>
      <c r="J119" s="64">
        <v>0</v>
      </c>
      <c r="L119" s="169">
        <f ca="1">OFFSET(Cost_Ingredients!N$117,$D119,0)*$J119</f>
        <v>0</v>
      </c>
      <c r="M119" s="169">
        <f ca="1">OFFSET(Cost_Ingredients!O$117,$D119,0)*$J119</f>
        <v>0</v>
      </c>
      <c r="N119" s="176">
        <f ca="1">OFFSET(Cost_Ingredients!P$117,$D119,0)*$J119</f>
        <v>0</v>
      </c>
      <c r="O119" s="176">
        <f ca="1">OFFSET(Cost_Ingredients!Q$117,$D119,0)*$J119</f>
        <v>0</v>
      </c>
      <c r="P119" s="151"/>
    </row>
    <row r="120" spans="3:18" s="23" customFormat="1">
      <c r="D120" s="746">
        <v>1</v>
      </c>
      <c r="E120" s="746"/>
      <c r="F120" s="746"/>
      <c r="G120" s="749"/>
      <c r="H120" s="151" t="s">
        <v>528</v>
      </c>
      <c r="I120" s="169">
        <f ca="1">OFFSET(Cost_Ingredients!$M$117,$D120,0)</f>
        <v>0</v>
      </c>
      <c r="J120" s="64">
        <v>0</v>
      </c>
      <c r="L120" s="169">
        <f ca="1">OFFSET(Cost_Ingredients!N$117,$D120,0)*$J120</f>
        <v>0</v>
      </c>
      <c r="M120" s="169">
        <f ca="1">OFFSET(Cost_Ingredients!O$117,$D120,0)*$J120</f>
        <v>0</v>
      </c>
      <c r="N120" s="176">
        <f ca="1">OFFSET(Cost_Ingredients!P$117,$D120,0)*$J120</f>
        <v>0</v>
      </c>
      <c r="O120" s="176">
        <f ca="1">OFFSET(Cost_Ingredients!Q$117,$D120,0)*$J120</f>
        <v>0</v>
      </c>
      <c r="P120" s="151"/>
    </row>
    <row r="121" spans="3:18" s="23" customFormat="1">
      <c r="D121" s="746">
        <v>1</v>
      </c>
      <c r="E121" s="746"/>
      <c r="F121" s="746"/>
      <c r="G121" s="749"/>
      <c r="H121" s="151" t="s">
        <v>528</v>
      </c>
      <c r="I121" s="169">
        <f ca="1">OFFSET(Cost_Ingredients!$M$117,$D121,0)</f>
        <v>0</v>
      </c>
      <c r="J121" s="64">
        <v>0</v>
      </c>
      <c r="L121" s="169">
        <f ca="1">OFFSET(Cost_Ingredients!N$117,$D121,0)*$J121</f>
        <v>0</v>
      </c>
      <c r="M121" s="169">
        <f ca="1">OFFSET(Cost_Ingredients!O$117,$D121,0)*$J121</f>
        <v>0</v>
      </c>
      <c r="N121" s="176">
        <f ca="1">OFFSET(Cost_Ingredients!P$117,$D121,0)*$J121</f>
        <v>0</v>
      </c>
      <c r="O121" s="176">
        <f ca="1">OFFSET(Cost_Ingredients!Q$117,$D121,0)*$J121</f>
        <v>0</v>
      </c>
      <c r="P121" s="151"/>
    </row>
    <row r="122" spans="3:18" s="23" customFormat="1">
      <c r="D122" s="746">
        <v>1</v>
      </c>
      <c r="E122" s="746"/>
      <c r="F122" s="746"/>
      <c r="G122" s="749"/>
      <c r="H122" s="172" t="s">
        <v>528</v>
      </c>
      <c r="I122" s="169">
        <f ca="1">OFFSET(Cost_Ingredients!$M$117,$D122,0)</f>
        <v>0</v>
      </c>
      <c r="J122" s="173">
        <v>0</v>
      </c>
      <c r="L122" s="169">
        <f ca="1">OFFSET(Cost_Ingredients!N$117,$D122,0)*$J122</f>
        <v>0</v>
      </c>
      <c r="M122" s="169">
        <f ca="1">OFFSET(Cost_Ingredients!O$117,$D122,0)*$J122</f>
        <v>0</v>
      </c>
      <c r="N122" s="176">
        <f ca="1">OFFSET(Cost_Ingredients!P$117,$D122,0)*$J122</f>
        <v>0</v>
      </c>
      <c r="O122" s="176">
        <f ca="1">OFFSET(Cost_Ingredients!Q$117,$D122,0)*$J122</f>
        <v>0</v>
      </c>
      <c r="P122" s="172"/>
    </row>
    <row r="123" spans="3:18" s="23" customFormat="1">
      <c r="D123" s="12"/>
      <c r="E123" s="12"/>
      <c r="F123" s="12"/>
      <c r="G123" s="12"/>
      <c r="H123" s="156"/>
      <c r="I123" s="156"/>
      <c r="J123" s="69"/>
      <c r="L123" s="181">
        <f ca="1">SUM(L114:L122)</f>
        <v>1</v>
      </c>
      <c r="M123" s="181">
        <f ca="1">SUM(M114:M122)</f>
        <v>6</v>
      </c>
      <c r="N123" s="187">
        <f ca="1">SUM(N114:N122)</f>
        <v>6.6666666666666671E-3</v>
      </c>
      <c r="O123" s="187">
        <f ca="1">SUM(O114:O122)</f>
        <v>0.04</v>
      </c>
      <c r="P123" s="156"/>
    </row>
    <row r="124" spans="3:18">
      <c r="Q124" s="23"/>
      <c r="R124" s="23"/>
    </row>
    <row r="125" spans="3:18">
      <c r="C125" s="160" t="str">
        <f>FLU_LU!$D$281</f>
        <v>Other Direct Costs (Recurrent)</v>
      </c>
      <c r="Q125" s="23"/>
      <c r="R125" s="23"/>
    </row>
    <row r="126" spans="3:18" ht="28.8">
      <c r="D126" s="733" t="s">
        <v>100</v>
      </c>
      <c r="E126" s="733"/>
      <c r="F126" s="733"/>
      <c r="G126" s="733"/>
      <c r="H126" s="142" t="s">
        <v>274</v>
      </c>
      <c r="I126" s="152" t="s">
        <v>63</v>
      </c>
      <c r="J126" s="152" t="s">
        <v>67</v>
      </c>
      <c r="L126" s="28" t="str">
        <f>"Financial Price ("&amp;FLU_LU!$D$79&amp;")"</f>
        <v>Financial Price (GOZ)</v>
      </c>
      <c r="M126" s="28" t="str">
        <f>"Economic Price ("&amp;FLU_LU!$D$79&amp;")"</f>
        <v>Economic Price (GOZ)</v>
      </c>
      <c r="N126" s="28" t="str">
        <f>"Financial Price ("&amp;FLU_LU!$D$78&amp;")"</f>
        <v>Financial Price (USD)</v>
      </c>
      <c r="O126" s="28" t="str">
        <f>"Economic Price ("&amp;FLU_LU!$D$78&amp;")"</f>
        <v>Economic Price (USD)</v>
      </c>
      <c r="P126" s="152" t="s">
        <v>68</v>
      </c>
      <c r="Q126" s="23"/>
      <c r="R126" s="23"/>
    </row>
    <row r="127" spans="3:18" s="23" customFormat="1">
      <c r="D127" s="746">
        <v>1</v>
      </c>
      <c r="E127" s="746"/>
      <c r="F127" s="746"/>
      <c r="G127" s="749"/>
      <c r="H127" s="151" t="s">
        <v>528</v>
      </c>
      <c r="I127" s="169">
        <f ca="1">OFFSET(Cost_Ingredients!$M$146,$D127,0)</f>
        <v>0</v>
      </c>
      <c r="J127" s="64">
        <v>300</v>
      </c>
      <c r="L127" s="169">
        <f ca="1">OFFSET(Cost_Ingredients!N$146,$D127,0)*$J127</f>
        <v>0</v>
      </c>
      <c r="M127" s="169">
        <f ca="1">OFFSET(Cost_Ingredients!O$146,$D127,0)*$J127</f>
        <v>0</v>
      </c>
      <c r="N127" s="176">
        <f ca="1">OFFSET(Cost_Ingredients!P$146,$D127,0)*$J127</f>
        <v>0</v>
      </c>
      <c r="O127" s="176">
        <f ca="1">OFFSET(Cost_Ingredients!Q$146,$D127,0)*$J127</f>
        <v>0</v>
      </c>
      <c r="P127" s="151"/>
    </row>
    <row r="128" spans="3:18" s="23" customFormat="1">
      <c r="D128" s="746">
        <v>1</v>
      </c>
      <c r="E128" s="746"/>
      <c r="F128" s="746"/>
      <c r="G128" s="749"/>
      <c r="H128" s="151" t="s">
        <v>528</v>
      </c>
      <c r="I128" s="169">
        <f ca="1">OFFSET(Cost_Ingredients!$M$146,$D128,0)</f>
        <v>0</v>
      </c>
      <c r="J128" s="64"/>
      <c r="L128" s="169">
        <f ca="1">OFFSET(Cost_Ingredients!N$146,$D128,0)*$J128</f>
        <v>0</v>
      </c>
      <c r="M128" s="169">
        <f ca="1">OFFSET(Cost_Ingredients!O$146,$D128,0)*$J128</f>
        <v>0</v>
      </c>
      <c r="N128" s="176">
        <f ca="1">OFFSET(Cost_Ingredients!P$146,$D128,0)*$J128</f>
        <v>0</v>
      </c>
      <c r="O128" s="176">
        <f ca="1">OFFSET(Cost_Ingredients!Q$146,$D128,0)*$J128</f>
        <v>0</v>
      </c>
      <c r="P128" s="151"/>
    </row>
    <row r="129" spans="3:18" s="23" customFormat="1">
      <c r="D129" s="746">
        <v>1</v>
      </c>
      <c r="E129" s="746"/>
      <c r="F129" s="746"/>
      <c r="G129" s="749"/>
      <c r="H129" s="151" t="s">
        <v>528</v>
      </c>
      <c r="I129" s="169">
        <f ca="1">OFFSET(Cost_Ingredients!$M$146,$D129,0)</f>
        <v>0</v>
      </c>
      <c r="J129" s="64">
        <v>0</v>
      </c>
      <c r="L129" s="169">
        <f ca="1">OFFSET(Cost_Ingredients!N$146,$D129,0)*$J129</f>
        <v>0</v>
      </c>
      <c r="M129" s="169">
        <f ca="1">OFFSET(Cost_Ingredients!O$146,$D129,0)*$J129</f>
        <v>0</v>
      </c>
      <c r="N129" s="176">
        <f ca="1">OFFSET(Cost_Ingredients!P$146,$D129,0)*$J129</f>
        <v>0</v>
      </c>
      <c r="O129" s="176">
        <f ca="1">OFFSET(Cost_Ingredients!Q$146,$D129,0)*$J129</f>
        <v>0</v>
      </c>
      <c r="P129" s="151"/>
    </row>
    <row r="130" spans="3:18" s="23" customFormat="1">
      <c r="D130" s="746">
        <v>1</v>
      </c>
      <c r="E130" s="746"/>
      <c r="F130" s="746"/>
      <c r="G130" s="749"/>
      <c r="H130" s="151" t="s">
        <v>528</v>
      </c>
      <c r="I130" s="169">
        <f ca="1">OFFSET(Cost_Ingredients!$M$146,$D130,0)</f>
        <v>0</v>
      </c>
      <c r="J130" s="64">
        <v>0</v>
      </c>
      <c r="L130" s="169">
        <f ca="1">OFFSET(Cost_Ingredients!N$146,$D130,0)*$J130</f>
        <v>0</v>
      </c>
      <c r="M130" s="169">
        <f ca="1">OFFSET(Cost_Ingredients!O$146,$D130,0)*$J130</f>
        <v>0</v>
      </c>
      <c r="N130" s="176">
        <f ca="1">OFFSET(Cost_Ingredients!P$146,$D130,0)*$J130</f>
        <v>0</v>
      </c>
      <c r="O130" s="176">
        <f ca="1">OFFSET(Cost_Ingredients!Q$146,$D130,0)*$J130</f>
        <v>0</v>
      </c>
      <c r="P130" s="151"/>
    </row>
    <row r="131" spans="3:18" s="23" customFormat="1">
      <c r="D131" s="746">
        <v>1</v>
      </c>
      <c r="E131" s="746"/>
      <c r="F131" s="746"/>
      <c r="G131" s="749"/>
      <c r="H131" s="151" t="s">
        <v>528</v>
      </c>
      <c r="I131" s="169">
        <f ca="1">OFFSET(Cost_Ingredients!$M$146,$D131,0)</f>
        <v>0</v>
      </c>
      <c r="J131" s="64">
        <v>0</v>
      </c>
      <c r="L131" s="169">
        <f ca="1">OFFSET(Cost_Ingredients!N$146,$D131,0)*$J131</f>
        <v>0</v>
      </c>
      <c r="M131" s="169">
        <f ca="1">OFFSET(Cost_Ingredients!O$146,$D131,0)*$J131</f>
        <v>0</v>
      </c>
      <c r="N131" s="176">
        <f ca="1">OFFSET(Cost_Ingredients!P$146,$D131,0)*$J131</f>
        <v>0</v>
      </c>
      <c r="O131" s="176">
        <f ca="1">OFFSET(Cost_Ingredients!Q$146,$D131,0)*$J131</f>
        <v>0</v>
      </c>
      <c r="P131" s="151"/>
    </row>
    <row r="132" spans="3:18" s="23" customFormat="1">
      <c r="D132" s="746">
        <v>1</v>
      </c>
      <c r="E132" s="746"/>
      <c r="F132" s="746"/>
      <c r="G132" s="749"/>
      <c r="H132" s="151" t="s">
        <v>528</v>
      </c>
      <c r="I132" s="169">
        <f ca="1">OFFSET(Cost_Ingredients!$M$146,$D132,0)</f>
        <v>0</v>
      </c>
      <c r="J132" s="64">
        <v>0</v>
      </c>
      <c r="L132" s="169">
        <f ca="1">OFFSET(Cost_Ingredients!N$146,$D132,0)*$J132</f>
        <v>0</v>
      </c>
      <c r="M132" s="169">
        <f ca="1">OFFSET(Cost_Ingredients!O$146,$D132,0)*$J132</f>
        <v>0</v>
      </c>
      <c r="N132" s="176">
        <f ca="1">OFFSET(Cost_Ingredients!P$146,$D132,0)*$J132</f>
        <v>0</v>
      </c>
      <c r="O132" s="176">
        <f ca="1">OFFSET(Cost_Ingredients!Q$146,$D132,0)*$J132</f>
        <v>0</v>
      </c>
      <c r="P132" s="151"/>
    </row>
    <row r="133" spans="3:18" s="23" customFormat="1">
      <c r="D133" s="746">
        <v>1</v>
      </c>
      <c r="E133" s="746"/>
      <c r="F133" s="746"/>
      <c r="G133" s="749"/>
      <c r="H133" s="151" t="s">
        <v>528</v>
      </c>
      <c r="I133" s="169">
        <f ca="1">OFFSET(Cost_Ingredients!$M$146,$D133,0)</f>
        <v>0</v>
      </c>
      <c r="J133" s="64">
        <v>0</v>
      </c>
      <c r="L133" s="169">
        <f ca="1">OFFSET(Cost_Ingredients!N$146,$D133,0)*$J133</f>
        <v>0</v>
      </c>
      <c r="M133" s="169">
        <f ca="1">OFFSET(Cost_Ingredients!O$146,$D133,0)*$J133</f>
        <v>0</v>
      </c>
      <c r="N133" s="176">
        <f ca="1">OFFSET(Cost_Ingredients!P$146,$D133,0)*$J133</f>
        <v>0</v>
      </c>
      <c r="O133" s="176">
        <f ca="1">OFFSET(Cost_Ingredients!Q$146,$D133,0)*$J133</f>
        <v>0</v>
      </c>
      <c r="P133" s="151"/>
    </row>
    <row r="134" spans="3:18" s="23" customFormat="1">
      <c r="D134" s="746">
        <v>1</v>
      </c>
      <c r="E134" s="746"/>
      <c r="F134" s="746"/>
      <c r="G134" s="749"/>
      <c r="H134" s="151" t="s">
        <v>528</v>
      </c>
      <c r="I134" s="169">
        <f ca="1">OFFSET(Cost_Ingredients!$M$146,$D134,0)</f>
        <v>0</v>
      </c>
      <c r="J134" s="64">
        <v>0</v>
      </c>
      <c r="L134" s="169">
        <f ca="1">OFFSET(Cost_Ingredients!N$146,$D134,0)*$J134</f>
        <v>0</v>
      </c>
      <c r="M134" s="169">
        <f ca="1">OFFSET(Cost_Ingredients!O$146,$D134,0)*$J134</f>
        <v>0</v>
      </c>
      <c r="N134" s="176">
        <f ca="1">OFFSET(Cost_Ingredients!P$146,$D134,0)*$J134</f>
        <v>0</v>
      </c>
      <c r="O134" s="176">
        <f ca="1">OFFSET(Cost_Ingredients!Q$146,$D134,0)*$J134</f>
        <v>0</v>
      </c>
      <c r="P134" s="151"/>
    </row>
    <row r="135" spans="3:18" s="23" customFormat="1">
      <c r="D135" s="746">
        <v>1</v>
      </c>
      <c r="E135" s="746"/>
      <c r="F135" s="746"/>
      <c r="G135" s="749"/>
      <c r="H135" s="172" t="s">
        <v>528</v>
      </c>
      <c r="I135" s="169">
        <f ca="1">OFFSET(Cost_Ingredients!$M$146,$D135,0)</f>
        <v>0</v>
      </c>
      <c r="J135" s="173">
        <v>0</v>
      </c>
      <c r="L135" s="169">
        <f ca="1">OFFSET(Cost_Ingredients!N$146,$D135,0)*$J135</f>
        <v>0</v>
      </c>
      <c r="M135" s="169">
        <f ca="1">OFFSET(Cost_Ingredients!O$146,$D135,0)*$J135</f>
        <v>0</v>
      </c>
      <c r="N135" s="176">
        <f ca="1">OFFSET(Cost_Ingredients!P$146,$D135,0)*$J135</f>
        <v>0</v>
      </c>
      <c r="O135" s="176">
        <f ca="1">OFFSET(Cost_Ingredients!Q$146,$D135,0)*$J135</f>
        <v>0</v>
      </c>
      <c r="P135" s="172"/>
    </row>
    <row r="136" spans="3:18" s="23" customFormat="1">
      <c r="D136" s="12"/>
      <c r="E136" s="12"/>
      <c r="F136" s="12"/>
      <c r="G136" s="12"/>
      <c r="H136" s="156"/>
      <c r="I136" s="156"/>
      <c r="J136" s="69"/>
      <c r="L136" s="181">
        <f ca="1">SUM(L127:L135)</f>
        <v>0</v>
      </c>
      <c r="M136" s="181">
        <f ca="1">SUM(M127:M135)</f>
        <v>0</v>
      </c>
      <c r="N136" s="187">
        <f ca="1">SUM(N127:N135)</f>
        <v>0</v>
      </c>
      <c r="O136" s="187">
        <f ca="1">SUM(O127:O135)</f>
        <v>0</v>
      </c>
      <c r="P136" s="156"/>
    </row>
    <row r="137" spans="3:18">
      <c r="Q137" s="23"/>
      <c r="R137" s="23"/>
    </row>
    <row r="138" spans="3:18" ht="15" thickBot="1">
      <c r="C138" s="70" t="str">
        <f>"Total "&amp;FLU_LU!$D$379</f>
        <v>Total Other Recurrent Activity 2</v>
      </c>
      <c r="L138" s="185">
        <f ca="1">SUM(L96,L110,L123,L136)</f>
        <v>5501</v>
      </c>
      <c r="M138" s="185">
        <f ca="1">SUM(M96,M110,M123,M136)</f>
        <v>5506</v>
      </c>
      <c r="N138" s="184">
        <f ca="1">SUM(N96,N110,N123,N136)</f>
        <v>36.673333333333332</v>
      </c>
      <c r="O138" s="184">
        <f ca="1">SUM(O96,O110,O123,O136)</f>
        <v>36.706666666666663</v>
      </c>
      <c r="Q138" s="23"/>
      <c r="R138" s="23"/>
    </row>
    <row r="139" spans="3:18" ht="15" thickTop="1">
      <c r="Q139" s="23"/>
      <c r="R139" s="23"/>
    </row>
    <row r="140" spans="3:18">
      <c r="Q140" s="23"/>
      <c r="R140" s="23"/>
    </row>
    <row r="141" spans="3:18" ht="15.6">
      <c r="C141" s="171" t="str">
        <f>"Detailed Cost Estimate: "&amp;FLU_LU!$D$380</f>
        <v>Detailed Cost Estimate: Other Recurrent Activity 3</v>
      </c>
      <c r="Q141" s="23"/>
      <c r="R141" s="23"/>
    </row>
    <row r="142" spans="3:18" ht="15.6">
      <c r="F142" s="111" t="s">
        <v>691</v>
      </c>
      <c r="H142" s="776" t="str">
        <f>Other!$G$18</f>
        <v>[No Scope Defined}</v>
      </c>
      <c r="I142" s="777"/>
      <c r="J142" s="777"/>
      <c r="K142" s="777"/>
      <c r="L142" s="777"/>
      <c r="M142" s="777"/>
      <c r="N142" s="777"/>
      <c r="O142" s="777"/>
      <c r="P142" s="778"/>
      <c r="Q142" s="23"/>
      <c r="R142" s="23"/>
    </row>
    <row r="143" spans="3:18">
      <c r="Q143" s="23"/>
      <c r="R143" s="23"/>
    </row>
    <row r="144" spans="3:18">
      <c r="Q144" s="23"/>
      <c r="R144" s="23"/>
    </row>
    <row r="145" spans="3:18">
      <c r="C145" s="160" t="str">
        <f>FLU_LU!$D$278</f>
        <v xml:space="preserve">Personnel </v>
      </c>
      <c r="Q145" s="23"/>
      <c r="R145" s="23"/>
    </row>
    <row r="146" spans="3:18" ht="43.2">
      <c r="D146" s="733" t="s">
        <v>100</v>
      </c>
      <c r="E146" s="733"/>
      <c r="F146" s="733"/>
      <c r="G146" s="733"/>
      <c r="H146" s="142" t="s">
        <v>274</v>
      </c>
      <c r="I146" s="72" t="s">
        <v>474</v>
      </c>
      <c r="J146" s="152" t="s">
        <v>67</v>
      </c>
      <c r="K146" s="72" t="s">
        <v>475</v>
      </c>
      <c r="L146" s="28" t="str">
        <f>"Financial Price ("&amp;FLU_LU!$D$79&amp;")"</f>
        <v>Financial Price (GOZ)</v>
      </c>
      <c r="M146" s="28" t="str">
        <f>"Economic Price ("&amp;FLU_LU!$D$79&amp;")"</f>
        <v>Economic Price (GOZ)</v>
      </c>
      <c r="N146" s="28" t="str">
        <f>"Financial Price ("&amp;FLU_LU!$D$78&amp;")"</f>
        <v>Financial Price (USD)</v>
      </c>
      <c r="O146" s="28" t="str">
        <f>"Economic Price ("&amp;FLU_LU!$D$78&amp;")"</f>
        <v>Economic Price (USD)</v>
      </c>
      <c r="P146" s="152" t="s">
        <v>68</v>
      </c>
      <c r="Q146" s="23"/>
      <c r="R146" s="23"/>
    </row>
    <row r="147" spans="3:18" s="23" customFormat="1">
      <c r="D147" s="746">
        <v>13</v>
      </c>
      <c r="E147" s="746"/>
      <c r="F147" s="746"/>
      <c r="G147" s="749"/>
      <c r="H147" s="151" t="s">
        <v>528</v>
      </c>
      <c r="I147" s="31">
        <v>1</v>
      </c>
      <c r="J147" s="64">
        <v>4</v>
      </c>
      <c r="K147" s="135">
        <f t="shared" ref="K147:K161" si="2">IF(I147=1,J147/FLU_DAYS_PER_MONTH,IF(I147=2,J147/FLU_HOURS_PER_MONTH,J147/FLU_MINUTES_PER_MONTH))</f>
        <v>0.18181818181818182</v>
      </c>
      <c r="L147" s="366">
        <f ca="1">OFFSET(Cost_Ingredients!$N$73,$D147,0)*$K147</f>
        <v>0</v>
      </c>
      <c r="M147" s="366">
        <f ca="1">OFFSET(Cost_Ingredients!$O$73,$D147,0)*$K147</f>
        <v>16456.821818181819</v>
      </c>
      <c r="N147" s="367">
        <f ca="1">OFFSET(Cost_Ingredients!$P$73,$D147,0)*$K147</f>
        <v>0</v>
      </c>
      <c r="O147" s="368">
        <f ca="1">OFFSET(Cost_Ingredients!$Q$73,$D147,0)*$K147</f>
        <v>109.71214545454548</v>
      </c>
      <c r="P147" s="335"/>
    </row>
    <row r="148" spans="3:18" s="23" customFormat="1">
      <c r="D148" s="746">
        <v>1</v>
      </c>
      <c r="E148" s="746"/>
      <c r="F148" s="746"/>
      <c r="G148" s="749"/>
      <c r="H148" s="151" t="s">
        <v>528</v>
      </c>
      <c r="I148" s="31">
        <v>1</v>
      </c>
      <c r="J148" s="64">
        <v>3</v>
      </c>
      <c r="K148" s="135">
        <f t="shared" si="2"/>
        <v>0.13636363636363635</v>
      </c>
      <c r="L148" s="366">
        <f ca="1">OFFSET(Cost_Ingredients!$N$73,$D148,0)*$K148</f>
        <v>0</v>
      </c>
      <c r="M148" s="366">
        <f ca="1">OFFSET(Cost_Ingredients!$O$73,$D148,0)*$K148</f>
        <v>0</v>
      </c>
      <c r="N148" s="367">
        <f ca="1">OFFSET(Cost_Ingredients!$P$73,$D148,0)*$K148</f>
        <v>0</v>
      </c>
      <c r="O148" s="368">
        <f ca="1">OFFSET(Cost_Ingredients!$Q$73,$D148,0)*$K148</f>
        <v>0</v>
      </c>
      <c r="P148" s="335"/>
    </row>
    <row r="149" spans="3:18" s="23" customFormat="1">
      <c r="D149" s="746">
        <v>1</v>
      </c>
      <c r="E149" s="746"/>
      <c r="F149" s="746"/>
      <c r="G149" s="749"/>
      <c r="H149" s="151" t="s">
        <v>528</v>
      </c>
      <c r="I149" s="31">
        <v>1</v>
      </c>
      <c r="J149" s="64">
        <v>1</v>
      </c>
      <c r="K149" s="135">
        <f t="shared" si="2"/>
        <v>4.5454545454545456E-2</v>
      </c>
      <c r="L149" s="366">
        <f ca="1">OFFSET(Cost_Ingredients!$N$73,$D149,0)*$K149</f>
        <v>0</v>
      </c>
      <c r="M149" s="366">
        <f ca="1">OFFSET(Cost_Ingredients!$O$73,$D149,0)*$K149</f>
        <v>0</v>
      </c>
      <c r="N149" s="367">
        <f ca="1">OFFSET(Cost_Ingredients!$P$73,$D149,0)*$K149</f>
        <v>0</v>
      </c>
      <c r="O149" s="368">
        <f ca="1">OFFSET(Cost_Ingredients!$Q$73,$D149,0)*$K149</f>
        <v>0</v>
      </c>
      <c r="P149" s="335"/>
    </row>
    <row r="150" spans="3:18" s="23" customFormat="1">
      <c r="D150" s="746">
        <v>1</v>
      </c>
      <c r="E150" s="746"/>
      <c r="F150" s="746"/>
      <c r="G150" s="749"/>
      <c r="H150" s="151" t="s">
        <v>528</v>
      </c>
      <c r="I150" s="31">
        <v>1</v>
      </c>
      <c r="J150" s="64">
        <v>4</v>
      </c>
      <c r="K150" s="135">
        <f t="shared" si="2"/>
        <v>0.18181818181818182</v>
      </c>
      <c r="L150" s="366">
        <f ca="1">OFFSET(Cost_Ingredients!$N$73,$D150,0)*$K150</f>
        <v>0</v>
      </c>
      <c r="M150" s="366">
        <f ca="1">OFFSET(Cost_Ingredients!$O$73,$D150,0)*$K150</f>
        <v>0</v>
      </c>
      <c r="N150" s="367">
        <f ca="1">OFFSET(Cost_Ingredients!$P$73,$D150,0)*$K150</f>
        <v>0</v>
      </c>
      <c r="O150" s="368">
        <f ca="1">OFFSET(Cost_Ingredients!$Q$73,$D150,0)*$K150</f>
        <v>0</v>
      </c>
      <c r="P150" s="335"/>
    </row>
    <row r="151" spans="3:18" s="23" customFormat="1">
      <c r="D151" s="746">
        <v>1</v>
      </c>
      <c r="E151" s="746"/>
      <c r="F151" s="746"/>
      <c r="G151" s="749"/>
      <c r="H151" s="151" t="s">
        <v>528</v>
      </c>
      <c r="I151" s="31">
        <v>1</v>
      </c>
      <c r="J151" s="64">
        <v>1</v>
      </c>
      <c r="K151" s="135">
        <f t="shared" si="2"/>
        <v>4.5454545454545456E-2</v>
      </c>
      <c r="L151" s="366">
        <f ca="1">OFFSET(Cost_Ingredients!$N$73,$D151,0)*$K151</f>
        <v>0</v>
      </c>
      <c r="M151" s="366">
        <f ca="1">OFFSET(Cost_Ingredients!$O$73,$D151,0)*$K151</f>
        <v>0</v>
      </c>
      <c r="N151" s="367">
        <f ca="1">OFFSET(Cost_Ingredients!$P$73,$D151,0)*$K151</f>
        <v>0</v>
      </c>
      <c r="O151" s="368">
        <f ca="1">OFFSET(Cost_Ingredients!$Q$73,$D151,0)*$K151</f>
        <v>0</v>
      </c>
      <c r="P151" s="335"/>
    </row>
    <row r="152" spans="3:18" s="23" customFormat="1">
      <c r="D152" s="746">
        <v>1</v>
      </c>
      <c r="E152" s="746"/>
      <c r="F152" s="746"/>
      <c r="G152" s="749"/>
      <c r="H152" s="151" t="s">
        <v>528</v>
      </c>
      <c r="I152" s="31">
        <v>1</v>
      </c>
      <c r="J152" s="64">
        <v>0</v>
      </c>
      <c r="K152" s="135">
        <f t="shared" si="2"/>
        <v>0</v>
      </c>
      <c r="L152" s="366">
        <f ca="1">OFFSET(Cost_Ingredients!$N$73,$D152,0)*$K152</f>
        <v>0</v>
      </c>
      <c r="M152" s="366">
        <f ca="1">OFFSET(Cost_Ingredients!$O$73,$D152,0)*$K152</f>
        <v>0</v>
      </c>
      <c r="N152" s="367">
        <f ca="1">OFFSET(Cost_Ingredients!$P$73,$D152,0)*$K152</f>
        <v>0</v>
      </c>
      <c r="O152" s="368">
        <f ca="1">OFFSET(Cost_Ingredients!$Q$73,$D152,0)*$K152</f>
        <v>0</v>
      </c>
      <c r="P152" s="335"/>
    </row>
    <row r="153" spans="3:18" s="23" customFormat="1">
      <c r="D153" s="746">
        <v>1</v>
      </c>
      <c r="E153" s="746"/>
      <c r="F153" s="746"/>
      <c r="G153" s="749"/>
      <c r="H153" s="151" t="s">
        <v>528</v>
      </c>
      <c r="I153" s="31">
        <v>1</v>
      </c>
      <c r="J153" s="64">
        <v>0</v>
      </c>
      <c r="K153" s="135">
        <f t="shared" si="2"/>
        <v>0</v>
      </c>
      <c r="L153" s="366">
        <f ca="1">OFFSET(Cost_Ingredients!$N$73,$D153,0)*$K153</f>
        <v>0</v>
      </c>
      <c r="M153" s="366">
        <f ca="1">OFFSET(Cost_Ingredients!$O$73,$D153,0)*$K153</f>
        <v>0</v>
      </c>
      <c r="N153" s="367">
        <f ca="1">OFFSET(Cost_Ingredients!$P$73,$D153,0)*$K153</f>
        <v>0</v>
      </c>
      <c r="O153" s="368">
        <f ca="1">OFFSET(Cost_Ingredients!$Q$73,$D153,0)*$K153</f>
        <v>0</v>
      </c>
      <c r="P153" s="335"/>
    </row>
    <row r="154" spans="3:18" s="23" customFormat="1">
      <c r="D154" s="746">
        <v>1</v>
      </c>
      <c r="E154" s="746"/>
      <c r="F154" s="746"/>
      <c r="G154" s="749"/>
      <c r="H154" s="151" t="s">
        <v>528</v>
      </c>
      <c r="I154" s="31">
        <v>1</v>
      </c>
      <c r="J154" s="64">
        <v>0</v>
      </c>
      <c r="K154" s="135">
        <f t="shared" si="2"/>
        <v>0</v>
      </c>
      <c r="L154" s="366">
        <f ca="1">OFFSET(Cost_Ingredients!$N$73,$D154,0)*$K154</f>
        <v>0</v>
      </c>
      <c r="M154" s="366">
        <f ca="1">OFFSET(Cost_Ingredients!$O$73,$D154,0)*$K154</f>
        <v>0</v>
      </c>
      <c r="N154" s="367">
        <f ca="1">OFFSET(Cost_Ingredients!$P$73,$D154,0)*$K154</f>
        <v>0</v>
      </c>
      <c r="O154" s="368">
        <f ca="1">OFFSET(Cost_Ingredients!$Q$73,$D154,0)*$K154</f>
        <v>0</v>
      </c>
      <c r="P154" s="335"/>
    </row>
    <row r="155" spans="3:18" s="23" customFormat="1">
      <c r="D155" s="746">
        <v>1</v>
      </c>
      <c r="E155" s="746"/>
      <c r="F155" s="746"/>
      <c r="G155" s="749"/>
      <c r="H155" s="151" t="s">
        <v>528</v>
      </c>
      <c r="I155" s="31">
        <v>1</v>
      </c>
      <c r="J155" s="64">
        <v>0</v>
      </c>
      <c r="K155" s="135">
        <f t="shared" si="2"/>
        <v>0</v>
      </c>
      <c r="L155" s="366">
        <f ca="1">OFFSET(Cost_Ingredients!$N$73,$D155,0)*$K155</f>
        <v>0</v>
      </c>
      <c r="M155" s="366">
        <f ca="1">OFFSET(Cost_Ingredients!$O$73,$D155,0)*$K155</f>
        <v>0</v>
      </c>
      <c r="N155" s="367">
        <f ca="1">OFFSET(Cost_Ingredients!$P$73,$D155,0)*$K155</f>
        <v>0</v>
      </c>
      <c r="O155" s="368">
        <f ca="1">OFFSET(Cost_Ingredients!$Q$73,$D155,0)*$K155</f>
        <v>0</v>
      </c>
      <c r="P155" s="335"/>
    </row>
    <row r="156" spans="3:18" s="23" customFormat="1">
      <c r="D156" s="746">
        <v>1</v>
      </c>
      <c r="E156" s="746"/>
      <c r="F156" s="746"/>
      <c r="G156" s="749"/>
      <c r="H156" s="151" t="s">
        <v>528</v>
      </c>
      <c r="I156" s="31">
        <v>1</v>
      </c>
      <c r="J156" s="64">
        <v>0</v>
      </c>
      <c r="K156" s="135">
        <f t="shared" si="2"/>
        <v>0</v>
      </c>
      <c r="L156" s="366">
        <f ca="1">OFFSET(Cost_Ingredients!$N$73,$D156,0)*$K156</f>
        <v>0</v>
      </c>
      <c r="M156" s="366">
        <f ca="1">OFFSET(Cost_Ingredients!$O$73,$D156,0)*$K156</f>
        <v>0</v>
      </c>
      <c r="N156" s="367">
        <f ca="1">OFFSET(Cost_Ingredients!$P$73,$D156,0)*$K156</f>
        <v>0</v>
      </c>
      <c r="O156" s="368">
        <f ca="1">OFFSET(Cost_Ingredients!$Q$73,$D156,0)*$K156</f>
        <v>0</v>
      </c>
      <c r="P156" s="335"/>
    </row>
    <row r="157" spans="3:18" s="23" customFormat="1">
      <c r="D157" s="746">
        <v>1</v>
      </c>
      <c r="E157" s="746"/>
      <c r="F157" s="746"/>
      <c r="G157" s="749"/>
      <c r="H157" s="151" t="s">
        <v>528</v>
      </c>
      <c r="I157" s="31">
        <v>1</v>
      </c>
      <c r="J157" s="64">
        <v>0</v>
      </c>
      <c r="K157" s="135">
        <f t="shared" si="2"/>
        <v>0</v>
      </c>
      <c r="L157" s="366">
        <f ca="1">OFFSET(Cost_Ingredients!$N$73,$D157,0)*$K157</f>
        <v>0</v>
      </c>
      <c r="M157" s="366">
        <f ca="1">OFFSET(Cost_Ingredients!$O$73,$D157,0)*$K157</f>
        <v>0</v>
      </c>
      <c r="N157" s="367">
        <f ca="1">OFFSET(Cost_Ingredients!$P$73,$D157,0)*$K157</f>
        <v>0</v>
      </c>
      <c r="O157" s="368">
        <f ca="1">OFFSET(Cost_Ingredients!$Q$73,$D157,0)*$K157</f>
        <v>0</v>
      </c>
      <c r="P157" s="335"/>
    </row>
    <row r="158" spans="3:18" s="23" customFormat="1">
      <c r="D158" s="746">
        <v>1</v>
      </c>
      <c r="E158" s="746"/>
      <c r="F158" s="746"/>
      <c r="G158" s="749"/>
      <c r="H158" s="151" t="s">
        <v>528</v>
      </c>
      <c r="I158" s="31">
        <v>1</v>
      </c>
      <c r="J158" s="64">
        <v>0</v>
      </c>
      <c r="K158" s="135">
        <f t="shared" si="2"/>
        <v>0</v>
      </c>
      <c r="L158" s="366">
        <f ca="1">OFFSET(Cost_Ingredients!$N$73,$D158,0)*$K158</f>
        <v>0</v>
      </c>
      <c r="M158" s="366">
        <f ca="1">OFFSET(Cost_Ingredients!$O$73,$D158,0)*$K158</f>
        <v>0</v>
      </c>
      <c r="N158" s="367">
        <f ca="1">OFFSET(Cost_Ingredients!$P$73,$D158,0)*$K158</f>
        <v>0</v>
      </c>
      <c r="O158" s="368">
        <f ca="1">OFFSET(Cost_Ingredients!$Q$73,$D158,0)*$K158</f>
        <v>0</v>
      </c>
      <c r="P158" s="335"/>
    </row>
    <row r="159" spans="3:18" s="23" customFormat="1">
      <c r="D159" s="746">
        <v>1</v>
      </c>
      <c r="E159" s="746"/>
      <c r="F159" s="746"/>
      <c r="G159" s="749"/>
      <c r="H159" s="151" t="s">
        <v>528</v>
      </c>
      <c r="I159" s="31">
        <v>1</v>
      </c>
      <c r="J159" s="64">
        <v>0</v>
      </c>
      <c r="K159" s="135">
        <f t="shared" si="2"/>
        <v>0</v>
      </c>
      <c r="L159" s="366">
        <f ca="1">OFFSET(Cost_Ingredients!$N$73,$D159,0)*$K159</f>
        <v>0</v>
      </c>
      <c r="M159" s="366">
        <f ca="1">OFFSET(Cost_Ingredients!$O$73,$D159,0)*$K159</f>
        <v>0</v>
      </c>
      <c r="N159" s="367">
        <f ca="1">OFFSET(Cost_Ingredients!$P$73,$D159,0)*$K159</f>
        <v>0</v>
      </c>
      <c r="O159" s="368">
        <f ca="1">OFFSET(Cost_Ingredients!$Q$73,$D159,0)*$K159</f>
        <v>0</v>
      </c>
      <c r="P159" s="335"/>
    </row>
    <row r="160" spans="3:18" s="23" customFormat="1">
      <c r="D160" s="746">
        <v>1</v>
      </c>
      <c r="E160" s="746"/>
      <c r="F160" s="746"/>
      <c r="G160" s="749"/>
      <c r="H160" s="151" t="s">
        <v>528</v>
      </c>
      <c r="I160" s="31">
        <v>1</v>
      </c>
      <c r="J160" s="64">
        <v>0</v>
      </c>
      <c r="K160" s="135">
        <f t="shared" si="2"/>
        <v>0</v>
      </c>
      <c r="L160" s="366">
        <f ca="1">OFFSET(Cost_Ingredients!$N$73,$D160,0)*$K160</f>
        <v>0</v>
      </c>
      <c r="M160" s="366">
        <f ca="1">OFFSET(Cost_Ingredients!$O$73,$D160,0)*$K160</f>
        <v>0</v>
      </c>
      <c r="N160" s="367">
        <f ca="1">OFFSET(Cost_Ingredients!$P$73,$D160,0)*$K160</f>
        <v>0</v>
      </c>
      <c r="O160" s="368">
        <f ca="1">OFFSET(Cost_Ingredients!$Q$73,$D160,0)*$K160</f>
        <v>0</v>
      </c>
      <c r="P160" s="335"/>
    </row>
    <row r="161" spans="3:18" s="23" customFormat="1">
      <c r="D161" s="746">
        <v>1</v>
      </c>
      <c r="E161" s="746"/>
      <c r="F161" s="746"/>
      <c r="G161" s="749"/>
      <c r="H161" s="151" t="s">
        <v>528</v>
      </c>
      <c r="I161" s="31">
        <v>1</v>
      </c>
      <c r="J161" s="173">
        <v>0</v>
      </c>
      <c r="K161" s="135">
        <f t="shared" si="2"/>
        <v>0</v>
      </c>
      <c r="L161" s="366">
        <f ca="1">OFFSET(Cost_Ingredients!$N$73,$D161,0)*$K161</f>
        <v>0</v>
      </c>
      <c r="M161" s="366">
        <f ca="1">OFFSET(Cost_Ingredients!$O$73,$D161,0)*$K161</f>
        <v>0</v>
      </c>
      <c r="N161" s="367">
        <f ca="1">OFFSET(Cost_Ingredients!$P$73,$D161,0)*$K161</f>
        <v>0</v>
      </c>
      <c r="O161" s="368">
        <f ca="1">OFFSET(Cost_Ingredients!$Q$73,$D161,0)*$K161</f>
        <v>0</v>
      </c>
      <c r="P161" s="370"/>
    </row>
    <row r="162" spans="3:18" s="23" customFormat="1">
      <c r="D162" s="12"/>
      <c r="E162" s="12"/>
      <c r="F162" s="12"/>
      <c r="G162" s="12"/>
      <c r="H162" s="152"/>
      <c r="I162" s="12"/>
      <c r="J162" s="69"/>
      <c r="K162" s="169">
        <f>SUM(K147:K161)</f>
        <v>0.59090909090909083</v>
      </c>
      <c r="L162" s="181">
        <f ca="1">SUM(L147:L161)</f>
        <v>0</v>
      </c>
      <c r="M162" s="181">
        <f ca="1">SUM(M147:M161)</f>
        <v>16456.821818181819</v>
      </c>
      <c r="N162" s="187">
        <f ca="1">SUM(N147:N161)</f>
        <v>0</v>
      </c>
      <c r="O162" s="187">
        <f ca="1">SUM(O147:O161)</f>
        <v>109.71214545454548</v>
      </c>
      <c r="P162" s="156"/>
    </row>
    <row r="163" spans="3:18">
      <c r="Q163" s="23"/>
      <c r="R163" s="23"/>
    </row>
    <row r="164" spans="3:18">
      <c r="C164" s="160" t="str">
        <f>FLU_LU!$D$279</f>
        <v>Allowances</v>
      </c>
      <c r="Q164" s="23"/>
      <c r="R164" s="23"/>
    </row>
    <row r="165" spans="3:18" ht="28.8">
      <c r="D165" s="733" t="s">
        <v>100</v>
      </c>
      <c r="E165" s="733"/>
      <c r="F165" s="733"/>
      <c r="G165" s="733"/>
      <c r="H165" s="730" t="s">
        <v>274</v>
      </c>
      <c r="I165" s="730"/>
      <c r="J165" s="152" t="s">
        <v>67</v>
      </c>
      <c r="L165" s="28" t="str">
        <f>"Financial Price ("&amp;FLU_LU!$D$79&amp;")"</f>
        <v>Financial Price (GOZ)</v>
      </c>
      <c r="M165" s="28" t="str">
        <f>"Economic Price ("&amp;FLU_LU!$D$79&amp;")"</f>
        <v>Economic Price (GOZ)</v>
      </c>
      <c r="N165" s="28" t="str">
        <f>"Financial Price ("&amp;FLU_LU!$D$78&amp;")"</f>
        <v>Financial Price (USD)</v>
      </c>
      <c r="O165" s="28" t="str">
        <f>"Economic Price ("&amp;FLU_LU!$D$78&amp;")"</f>
        <v>Economic Price (USD)</v>
      </c>
      <c r="P165" s="152" t="s">
        <v>68</v>
      </c>
      <c r="Q165" s="23"/>
      <c r="R165" s="23"/>
    </row>
    <row r="166" spans="3:18" s="23" customFormat="1">
      <c r="D166" s="746">
        <v>1</v>
      </c>
      <c r="E166" s="746"/>
      <c r="F166" s="746"/>
      <c r="G166" s="749"/>
      <c r="H166" s="667" t="s">
        <v>528</v>
      </c>
      <c r="I166" s="667"/>
      <c r="J166" s="117">
        <v>1</v>
      </c>
      <c r="L166" s="169">
        <f ca="1">OFFSET(Cost_Ingredients!N$103,$D166,0)*$J166</f>
        <v>0</v>
      </c>
      <c r="M166" s="169">
        <f ca="1">OFFSET(Cost_Ingredients!O$103,$D166,0)*$J166</f>
        <v>0</v>
      </c>
      <c r="N166" s="176">
        <f ca="1">OFFSET(Cost_Ingredients!P$103,$D166,0)*$J166</f>
        <v>0</v>
      </c>
      <c r="O166" s="176">
        <f ca="1">OFFSET(Cost_Ingredients!Q$103,$D166,0)*$J166</f>
        <v>0</v>
      </c>
      <c r="P166" s="151"/>
    </row>
    <row r="167" spans="3:18" s="23" customFormat="1">
      <c r="D167" s="746">
        <v>1</v>
      </c>
      <c r="E167" s="746"/>
      <c r="F167" s="746"/>
      <c r="G167" s="749"/>
      <c r="H167" s="667" t="s">
        <v>528</v>
      </c>
      <c r="I167" s="667"/>
      <c r="J167" s="117">
        <v>1</v>
      </c>
      <c r="L167" s="169">
        <f ca="1">OFFSET(Cost_Ingredients!N$103,$D167,0)*$J167</f>
        <v>0</v>
      </c>
      <c r="M167" s="169">
        <f ca="1">OFFSET(Cost_Ingredients!O$103,$D167,0)*$J167</f>
        <v>0</v>
      </c>
      <c r="N167" s="176">
        <f ca="1">OFFSET(Cost_Ingredients!P$103,$D167,0)*$J167</f>
        <v>0</v>
      </c>
      <c r="O167" s="176">
        <f ca="1">OFFSET(Cost_Ingredients!Q$103,$D167,0)*$J167</f>
        <v>0</v>
      </c>
      <c r="P167" s="151"/>
    </row>
    <row r="168" spans="3:18" s="23" customFormat="1">
      <c r="D168" s="746">
        <v>1</v>
      </c>
      <c r="E168" s="746"/>
      <c r="F168" s="746"/>
      <c r="G168" s="749"/>
      <c r="H168" s="667" t="s">
        <v>528</v>
      </c>
      <c r="I168" s="667"/>
      <c r="J168" s="117">
        <v>1</v>
      </c>
      <c r="L168" s="169">
        <f ca="1">OFFSET(Cost_Ingredients!N$103,$D168,0)*$J168</f>
        <v>0</v>
      </c>
      <c r="M168" s="169">
        <f ca="1">OFFSET(Cost_Ingredients!O$103,$D168,0)*$J168</f>
        <v>0</v>
      </c>
      <c r="N168" s="176">
        <f ca="1">OFFSET(Cost_Ingredients!P$103,$D168,0)*$J168</f>
        <v>0</v>
      </c>
      <c r="O168" s="176">
        <f ca="1">OFFSET(Cost_Ingredients!Q$103,$D168,0)*$J168</f>
        <v>0</v>
      </c>
      <c r="P168" s="151"/>
    </row>
    <row r="169" spans="3:18" s="23" customFormat="1">
      <c r="D169" s="746">
        <v>1</v>
      </c>
      <c r="E169" s="746"/>
      <c r="F169" s="746"/>
      <c r="G169" s="749"/>
      <c r="H169" s="667" t="s">
        <v>528</v>
      </c>
      <c r="I169" s="667"/>
      <c r="J169" s="117">
        <v>1</v>
      </c>
      <c r="L169" s="169">
        <f ca="1">OFFSET(Cost_Ingredients!N$103,$D169,0)*$J169</f>
        <v>0</v>
      </c>
      <c r="M169" s="169">
        <f ca="1">OFFSET(Cost_Ingredients!O$103,$D169,0)*$J169</f>
        <v>0</v>
      </c>
      <c r="N169" s="176">
        <f ca="1">OFFSET(Cost_Ingredients!P$103,$D169,0)*$J169</f>
        <v>0</v>
      </c>
      <c r="O169" s="176">
        <f ca="1">OFFSET(Cost_Ingredients!Q$103,$D169,0)*$J169</f>
        <v>0</v>
      </c>
      <c r="P169" s="151"/>
    </row>
    <row r="170" spans="3:18" s="23" customFormat="1">
      <c r="D170" s="746">
        <v>1</v>
      </c>
      <c r="E170" s="746"/>
      <c r="F170" s="746"/>
      <c r="G170" s="749"/>
      <c r="H170" s="667" t="s">
        <v>528</v>
      </c>
      <c r="I170" s="667"/>
      <c r="J170" s="117">
        <v>1</v>
      </c>
      <c r="L170" s="169">
        <f ca="1">OFFSET(Cost_Ingredients!N$103,$D170,0)*$J170</f>
        <v>0</v>
      </c>
      <c r="M170" s="169">
        <f ca="1">OFFSET(Cost_Ingredients!O$103,$D170,0)*$J170</f>
        <v>0</v>
      </c>
      <c r="N170" s="176">
        <f ca="1">OFFSET(Cost_Ingredients!P$103,$D170,0)*$J170</f>
        <v>0</v>
      </c>
      <c r="O170" s="176">
        <f ca="1">OFFSET(Cost_Ingredients!Q$103,$D170,0)*$J170</f>
        <v>0</v>
      </c>
      <c r="P170" s="151"/>
    </row>
    <row r="171" spans="3:18" s="23" customFormat="1">
      <c r="D171" s="746">
        <v>1</v>
      </c>
      <c r="E171" s="746"/>
      <c r="F171" s="746"/>
      <c r="G171" s="749"/>
      <c r="H171" s="667" t="s">
        <v>528</v>
      </c>
      <c r="I171" s="667"/>
      <c r="J171" s="117">
        <v>0</v>
      </c>
      <c r="L171" s="169">
        <f ca="1">OFFSET(Cost_Ingredients!N$103,$D171,0)*$J171</f>
        <v>0</v>
      </c>
      <c r="M171" s="169">
        <f ca="1">OFFSET(Cost_Ingredients!O$103,$D171,0)*$J171</f>
        <v>0</v>
      </c>
      <c r="N171" s="176">
        <f ca="1">OFFSET(Cost_Ingredients!P$103,$D171,0)*$J171</f>
        <v>0</v>
      </c>
      <c r="O171" s="176">
        <f ca="1">OFFSET(Cost_Ingredients!Q$103,$D171,0)*$J171</f>
        <v>0</v>
      </c>
      <c r="P171" s="151"/>
    </row>
    <row r="172" spans="3:18" s="23" customFormat="1">
      <c r="D172" s="746">
        <v>1</v>
      </c>
      <c r="E172" s="746"/>
      <c r="F172" s="746"/>
      <c r="G172" s="749"/>
      <c r="H172" s="667" t="s">
        <v>528</v>
      </c>
      <c r="I172" s="667"/>
      <c r="J172" s="117">
        <v>0</v>
      </c>
      <c r="L172" s="169">
        <f ca="1">OFFSET(Cost_Ingredients!N$103,$D172,0)*$J172</f>
        <v>0</v>
      </c>
      <c r="M172" s="169">
        <f ca="1">OFFSET(Cost_Ingredients!O$103,$D172,0)*$J172</f>
        <v>0</v>
      </c>
      <c r="N172" s="176">
        <f ca="1">OFFSET(Cost_Ingredients!P$103,$D172,0)*$J172</f>
        <v>0</v>
      </c>
      <c r="O172" s="176">
        <f ca="1">OFFSET(Cost_Ingredients!Q$103,$D172,0)*$J172</f>
        <v>0</v>
      </c>
      <c r="P172" s="151"/>
    </row>
    <row r="173" spans="3:18" s="23" customFormat="1">
      <c r="D173" s="746">
        <v>1</v>
      </c>
      <c r="E173" s="746"/>
      <c r="F173" s="746"/>
      <c r="G173" s="749"/>
      <c r="H173" s="667" t="s">
        <v>528</v>
      </c>
      <c r="I173" s="667"/>
      <c r="J173" s="117">
        <v>0</v>
      </c>
      <c r="L173" s="169">
        <f ca="1">OFFSET(Cost_Ingredients!N$103,$D173,0)*$J173</f>
        <v>0</v>
      </c>
      <c r="M173" s="169">
        <f ca="1">OFFSET(Cost_Ingredients!O$103,$D173,0)*$J173</f>
        <v>0</v>
      </c>
      <c r="N173" s="176">
        <f ca="1">OFFSET(Cost_Ingredients!P$103,$D173,0)*$J173</f>
        <v>0</v>
      </c>
      <c r="O173" s="176">
        <f ca="1">OFFSET(Cost_Ingredients!Q$103,$D173,0)*$J173</f>
        <v>0</v>
      </c>
      <c r="P173" s="151"/>
    </row>
    <row r="174" spans="3:18" s="23" customFormat="1">
      <c r="D174" s="746">
        <v>1</v>
      </c>
      <c r="E174" s="746"/>
      <c r="F174" s="746"/>
      <c r="G174" s="749"/>
      <c r="H174" s="667" t="s">
        <v>528</v>
      </c>
      <c r="I174" s="667"/>
      <c r="J174" s="117">
        <v>0</v>
      </c>
      <c r="L174" s="169">
        <f ca="1">OFFSET(Cost_Ingredients!N$103,$D174,0)*$J174</f>
        <v>0</v>
      </c>
      <c r="M174" s="169">
        <f ca="1">OFFSET(Cost_Ingredients!O$103,$D174,0)*$J174</f>
        <v>0</v>
      </c>
      <c r="N174" s="176">
        <f ca="1">OFFSET(Cost_Ingredients!P$103,$D174,0)*$J174</f>
        <v>0</v>
      </c>
      <c r="O174" s="176">
        <f ca="1">OFFSET(Cost_Ingredients!Q$103,$D174,0)*$J174</f>
        <v>0</v>
      </c>
      <c r="P174" s="151"/>
    </row>
    <row r="175" spans="3:18" s="23" customFormat="1">
      <c r="D175" s="746">
        <v>1</v>
      </c>
      <c r="E175" s="746"/>
      <c r="F175" s="746"/>
      <c r="G175" s="749"/>
      <c r="H175" s="745" t="s">
        <v>528</v>
      </c>
      <c r="I175" s="745"/>
      <c r="J175" s="207">
        <v>0</v>
      </c>
      <c r="L175" s="169">
        <f ca="1">OFFSET(Cost_Ingredients!N$103,$D175,0)*$J175</f>
        <v>0</v>
      </c>
      <c r="M175" s="169">
        <f ca="1">OFFSET(Cost_Ingredients!O$103,$D175,0)*$J175</f>
        <v>0</v>
      </c>
      <c r="N175" s="176">
        <f ca="1">OFFSET(Cost_Ingredients!P$103,$D175,0)*$J175</f>
        <v>0</v>
      </c>
      <c r="O175" s="176">
        <f ca="1">OFFSET(Cost_Ingredients!Q$103,$D175,0)*$J175</f>
        <v>0</v>
      </c>
      <c r="P175" s="172"/>
    </row>
    <row r="176" spans="3:18" s="23" customFormat="1">
      <c r="D176" s="12"/>
      <c r="E176" s="12"/>
      <c r="F176" s="12"/>
      <c r="G176" s="12"/>
      <c r="H176" s="156"/>
      <c r="I176" s="156"/>
      <c r="J176" s="69"/>
      <c r="L176" s="181">
        <f ca="1">SUM(L166:L175)</f>
        <v>0</v>
      </c>
      <c r="M176" s="181">
        <f ca="1">SUM(M166:M175)</f>
        <v>0</v>
      </c>
      <c r="N176" s="187">
        <f ca="1">SUM(N166:N175)</f>
        <v>0</v>
      </c>
      <c r="O176" s="187">
        <f ca="1">SUM(O166:O175)</f>
        <v>0</v>
      </c>
      <c r="P176" s="156"/>
    </row>
    <row r="177" spans="3:18">
      <c r="Q177" s="23"/>
      <c r="R177" s="23"/>
    </row>
    <row r="178" spans="3:18">
      <c r="C178" s="160" t="str">
        <f>FLU_LU!$D$280</f>
        <v>Supplies &amp; Materials</v>
      </c>
      <c r="Q178" s="23"/>
      <c r="R178" s="23"/>
    </row>
    <row r="179" spans="3:18" ht="28.8">
      <c r="D179" s="733" t="s">
        <v>100</v>
      </c>
      <c r="E179" s="733"/>
      <c r="F179" s="733"/>
      <c r="G179" s="733"/>
      <c r="H179" s="142" t="s">
        <v>274</v>
      </c>
      <c r="I179" s="152" t="s">
        <v>63</v>
      </c>
      <c r="J179" s="152" t="s">
        <v>67</v>
      </c>
      <c r="L179" s="28" t="str">
        <f>"Financial Price ("&amp;FLU_LU!$D$79&amp;")"</f>
        <v>Financial Price (GOZ)</v>
      </c>
      <c r="M179" s="28" t="str">
        <f>"Economic Price ("&amp;FLU_LU!$D$79&amp;")"</f>
        <v>Economic Price (GOZ)</v>
      </c>
      <c r="N179" s="28" t="str">
        <f>"Financial Price ("&amp;FLU_LU!$D$78&amp;")"</f>
        <v>Financial Price (USD)</v>
      </c>
      <c r="O179" s="28" t="str">
        <f>"Economic Price ("&amp;FLU_LU!$D$78&amp;")"</f>
        <v>Economic Price (USD)</v>
      </c>
      <c r="P179" s="152" t="s">
        <v>68</v>
      </c>
      <c r="Q179" s="23"/>
      <c r="R179" s="23"/>
    </row>
    <row r="180" spans="3:18" s="23" customFormat="1">
      <c r="D180" s="746">
        <v>6</v>
      </c>
      <c r="E180" s="746"/>
      <c r="F180" s="746"/>
      <c r="G180" s="749"/>
      <c r="H180" s="151" t="s">
        <v>528</v>
      </c>
      <c r="I180" s="169" t="str">
        <f ca="1">OFFSET(Cost_Ingredients!$M$117,$D180,0)</f>
        <v>pz</v>
      </c>
      <c r="J180" s="64">
        <v>1</v>
      </c>
      <c r="L180" s="169">
        <f ca="1">OFFSET(Cost_Ingredients!N$117,$D180,0)*$J180</f>
        <v>30</v>
      </c>
      <c r="M180" s="169">
        <f ca="1">OFFSET(Cost_Ingredients!O$117,$D180,0)*$J180</f>
        <v>30.036000000000001</v>
      </c>
      <c r="N180" s="176">
        <f ca="1">OFFSET(Cost_Ingredients!P$117,$D180,0)*$J180</f>
        <v>0.2</v>
      </c>
      <c r="O180" s="176">
        <f ca="1">OFFSET(Cost_Ingredients!Q$117,$D180,0)*$J180</f>
        <v>0.20024</v>
      </c>
      <c r="P180" s="151"/>
    </row>
    <row r="181" spans="3:18" s="23" customFormat="1">
      <c r="D181" s="746">
        <v>1</v>
      </c>
      <c r="E181" s="746"/>
      <c r="F181" s="746"/>
      <c r="G181" s="749"/>
      <c r="H181" s="151" t="s">
        <v>528</v>
      </c>
      <c r="I181" s="169">
        <f ca="1">OFFSET(Cost_Ingredients!$M$117,$D181,0)</f>
        <v>0</v>
      </c>
      <c r="J181" s="64"/>
      <c r="L181" s="169">
        <f ca="1">OFFSET(Cost_Ingredients!N$117,$D181,0)*$J181</f>
        <v>0</v>
      </c>
      <c r="M181" s="169">
        <f ca="1">OFFSET(Cost_Ingredients!O$117,$D181,0)*$J181</f>
        <v>0</v>
      </c>
      <c r="N181" s="176">
        <f ca="1">OFFSET(Cost_Ingredients!P$117,$D181,0)*$J181</f>
        <v>0</v>
      </c>
      <c r="O181" s="176">
        <f ca="1">OFFSET(Cost_Ingredients!Q$117,$D181,0)*$J181</f>
        <v>0</v>
      </c>
      <c r="P181" s="151"/>
    </row>
    <row r="182" spans="3:18" s="23" customFormat="1">
      <c r="D182" s="746">
        <v>1</v>
      </c>
      <c r="E182" s="746"/>
      <c r="F182" s="746"/>
      <c r="G182" s="749"/>
      <c r="H182" s="151" t="s">
        <v>528</v>
      </c>
      <c r="I182" s="169">
        <f ca="1">OFFSET(Cost_Ingredients!$M$117,$D182,0)</f>
        <v>0</v>
      </c>
      <c r="J182" s="64">
        <v>0</v>
      </c>
      <c r="L182" s="169">
        <f ca="1">OFFSET(Cost_Ingredients!N$117,$D182,0)*$J182</f>
        <v>0</v>
      </c>
      <c r="M182" s="169">
        <f ca="1">OFFSET(Cost_Ingredients!O$117,$D182,0)*$J182</f>
        <v>0</v>
      </c>
      <c r="N182" s="176">
        <f ca="1">OFFSET(Cost_Ingredients!P$117,$D182,0)*$J182</f>
        <v>0</v>
      </c>
      <c r="O182" s="176">
        <f ca="1">OFFSET(Cost_Ingredients!Q$117,$D182,0)*$J182</f>
        <v>0</v>
      </c>
      <c r="P182" s="151"/>
    </row>
    <row r="183" spans="3:18" s="23" customFormat="1">
      <c r="D183" s="746">
        <v>1</v>
      </c>
      <c r="E183" s="746"/>
      <c r="F183" s="746"/>
      <c r="G183" s="749"/>
      <c r="H183" s="151" t="s">
        <v>528</v>
      </c>
      <c r="I183" s="169">
        <f ca="1">OFFSET(Cost_Ingredients!$M$117,$D183,0)</f>
        <v>0</v>
      </c>
      <c r="J183" s="64">
        <v>0</v>
      </c>
      <c r="L183" s="169">
        <f ca="1">OFFSET(Cost_Ingredients!N$117,$D183,0)*$J183</f>
        <v>0</v>
      </c>
      <c r="M183" s="169">
        <f ca="1">OFFSET(Cost_Ingredients!O$117,$D183,0)*$J183</f>
        <v>0</v>
      </c>
      <c r="N183" s="176">
        <f ca="1">OFFSET(Cost_Ingredients!P$117,$D183,0)*$J183</f>
        <v>0</v>
      </c>
      <c r="O183" s="176">
        <f ca="1">OFFSET(Cost_Ingredients!Q$117,$D183,0)*$J183</f>
        <v>0</v>
      </c>
      <c r="P183" s="151"/>
    </row>
    <row r="184" spans="3:18" s="23" customFormat="1">
      <c r="D184" s="746">
        <v>1</v>
      </c>
      <c r="E184" s="746"/>
      <c r="F184" s="746"/>
      <c r="G184" s="749"/>
      <c r="H184" s="151" t="s">
        <v>528</v>
      </c>
      <c r="I184" s="169">
        <f ca="1">OFFSET(Cost_Ingredients!$M$117,$D184,0)</f>
        <v>0</v>
      </c>
      <c r="J184" s="64">
        <v>0</v>
      </c>
      <c r="L184" s="169">
        <f ca="1">OFFSET(Cost_Ingredients!N$117,$D184,0)*$J184</f>
        <v>0</v>
      </c>
      <c r="M184" s="169">
        <f ca="1">OFFSET(Cost_Ingredients!O$117,$D184,0)*$J184</f>
        <v>0</v>
      </c>
      <c r="N184" s="176">
        <f ca="1">OFFSET(Cost_Ingredients!P$117,$D184,0)*$J184</f>
        <v>0</v>
      </c>
      <c r="O184" s="176">
        <f ca="1">OFFSET(Cost_Ingredients!Q$117,$D184,0)*$J184</f>
        <v>0</v>
      </c>
      <c r="P184" s="151"/>
    </row>
    <row r="185" spans="3:18" s="23" customFormat="1">
      <c r="D185" s="746">
        <v>1</v>
      </c>
      <c r="E185" s="746"/>
      <c r="F185" s="746"/>
      <c r="G185" s="749"/>
      <c r="H185" s="151" t="s">
        <v>528</v>
      </c>
      <c r="I185" s="169">
        <f ca="1">OFFSET(Cost_Ingredients!$M$117,$D185,0)</f>
        <v>0</v>
      </c>
      <c r="J185" s="64">
        <v>0</v>
      </c>
      <c r="L185" s="169">
        <f ca="1">OFFSET(Cost_Ingredients!N$117,$D185,0)*$J185</f>
        <v>0</v>
      </c>
      <c r="M185" s="169">
        <f ca="1">OFFSET(Cost_Ingredients!O$117,$D185,0)*$J185</f>
        <v>0</v>
      </c>
      <c r="N185" s="176">
        <f ca="1">OFFSET(Cost_Ingredients!P$117,$D185,0)*$J185</f>
        <v>0</v>
      </c>
      <c r="O185" s="176">
        <f ca="1">OFFSET(Cost_Ingredients!Q$117,$D185,0)*$J185</f>
        <v>0</v>
      </c>
      <c r="P185" s="151"/>
    </row>
    <row r="186" spans="3:18" s="23" customFormat="1">
      <c r="D186" s="746">
        <v>1</v>
      </c>
      <c r="E186" s="746"/>
      <c r="F186" s="746"/>
      <c r="G186" s="749"/>
      <c r="H186" s="151" t="s">
        <v>528</v>
      </c>
      <c r="I186" s="169">
        <f ca="1">OFFSET(Cost_Ingredients!$M$117,$D186,0)</f>
        <v>0</v>
      </c>
      <c r="J186" s="64">
        <v>0</v>
      </c>
      <c r="L186" s="169">
        <f ca="1">OFFSET(Cost_Ingredients!N$117,$D186,0)*$J186</f>
        <v>0</v>
      </c>
      <c r="M186" s="169">
        <f ca="1">OFFSET(Cost_Ingredients!O$117,$D186,0)*$J186</f>
        <v>0</v>
      </c>
      <c r="N186" s="176">
        <f ca="1">OFFSET(Cost_Ingredients!P$117,$D186,0)*$J186</f>
        <v>0</v>
      </c>
      <c r="O186" s="176">
        <f ca="1">OFFSET(Cost_Ingredients!Q$117,$D186,0)*$J186</f>
        <v>0</v>
      </c>
      <c r="P186" s="151"/>
    </row>
    <row r="187" spans="3:18" s="23" customFormat="1">
      <c r="D187" s="746">
        <v>1</v>
      </c>
      <c r="E187" s="746"/>
      <c r="F187" s="746"/>
      <c r="G187" s="749"/>
      <c r="H187" s="151" t="s">
        <v>528</v>
      </c>
      <c r="I187" s="169">
        <f ca="1">OFFSET(Cost_Ingredients!$M$117,$D187,0)</f>
        <v>0</v>
      </c>
      <c r="J187" s="64">
        <v>0</v>
      </c>
      <c r="L187" s="169">
        <f ca="1">OFFSET(Cost_Ingredients!N$117,$D187,0)*$J187</f>
        <v>0</v>
      </c>
      <c r="M187" s="169">
        <f ca="1">OFFSET(Cost_Ingredients!O$117,$D187,0)*$J187</f>
        <v>0</v>
      </c>
      <c r="N187" s="176">
        <f ca="1">OFFSET(Cost_Ingredients!P$117,$D187,0)*$J187</f>
        <v>0</v>
      </c>
      <c r="O187" s="176">
        <f ca="1">OFFSET(Cost_Ingredients!Q$117,$D187,0)*$J187</f>
        <v>0</v>
      </c>
      <c r="P187" s="151"/>
    </row>
    <row r="188" spans="3:18" s="23" customFormat="1">
      <c r="D188" s="746">
        <v>1</v>
      </c>
      <c r="E188" s="746"/>
      <c r="F188" s="746"/>
      <c r="G188" s="749"/>
      <c r="H188" s="172" t="s">
        <v>528</v>
      </c>
      <c r="I188" s="169">
        <f ca="1">OFFSET(Cost_Ingredients!$M$117,$D188,0)</f>
        <v>0</v>
      </c>
      <c r="J188" s="173">
        <v>0</v>
      </c>
      <c r="L188" s="169">
        <f ca="1">OFFSET(Cost_Ingredients!N$117,$D188,0)*$J188</f>
        <v>0</v>
      </c>
      <c r="M188" s="169">
        <f ca="1">OFFSET(Cost_Ingredients!O$117,$D188,0)*$J188</f>
        <v>0</v>
      </c>
      <c r="N188" s="176">
        <f ca="1">OFFSET(Cost_Ingredients!P$117,$D188,0)*$J188</f>
        <v>0</v>
      </c>
      <c r="O188" s="176">
        <f ca="1">OFFSET(Cost_Ingredients!Q$117,$D188,0)*$J188</f>
        <v>0</v>
      </c>
      <c r="P188" s="172"/>
    </row>
    <row r="189" spans="3:18" s="23" customFormat="1">
      <c r="D189" s="12"/>
      <c r="E189" s="12"/>
      <c r="F189" s="12"/>
      <c r="G189" s="12"/>
      <c r="H189" s="156"/>
      <c r="I189" s="156"/>
      <c r="J189" s="69"/>
      <c r="L189" s="181">
        <f ca="1">SUM(L180:L188)</f>
        <v>30</v>
      </c>
      <c r="M189" s="181">
        <f ca="1">SUM(M180:M188)</f>
        <v>30.036000000000001</v>
      </c>
      <c r="N189" s="187">
        <f ca="1">SUM(N180:N188)</f>
        <v>0.2</v>
      </c>
      <c r="O189" s="187">
        <f ca="1">SUM(O180:O188)</f>
        <v>0.20024</v>
      </c>
      <c r="P189" s="156"/>
    </row>
    <row r="190" spans="3:18">
      <c r="Q190" s="23"/>
      <c r="R190" s="23"/>
    </row>
    <row r="191" spans="3:18">
      <c r="C191" s="160" t="str">
        <f>FLU_LU!$D$281</f>
        <v>Other Direct Costs (Recurrent)</v>
      </c>
      <c r="Q191" s="23"/>
      <c r="R191" s="23"/>
    </row>
    <row r="192" spans="3:18" ht="28.8">
      <c r="D192" s="733" t="s">
        <v>100</v>
      </c>
      <c r="E192" s="733"/>
      <c r="F192" s="733"/>
      <c r="G192" s="733"/>
      <c r="H192" s="142" t="s">
        <v>274</v>
      </c>
      <c r="I192" s="152" t="s">
        <v>63</v>
      </c>
      <c r="J192" s="152" t="s">
        <v>67</v>
      </c>
      <c r="L192" s="28" t="str">
        <f>"Financial Price ("&amp;FLU_LU!$D$79&amp;")"</f>
        <v>Financial Price (GOZ)</v>
      </c>
      <c r="M192" s="28" t="str">
        <f>"Economic Price ("&amp;FLU_LU!$D$79&amp;")"</f>
        <v>Economic Price (GOZ)</v>
      </c>
      <c r="N192" s="28" t="str">
        <f>"Financial Price ("&amp;FLU_LU!$D$78&amp;")"</f>
        <v>Financial Price (USD)</v>
      </c>
      <c r="O192" s="28" t="str">
        <f>"Economic Price ("&amp;FLU_LU!$D$78&amp;")"</f>
        <v>Economic Price (USD)</v>
      </c>
      <c r="P192" s="152" t="s">
        <v>68</v>
      </c>
      <c r="Q192" s="23"/>
      <c r="R192" s="23"/>
    </row>
    <row r="193" spans="3:18" s="23" customFormat="1">
      <c r="D193" s="746">
        <v>1</v>
      </c>
      <c r="E193" s="746"/>
      <c r="F193" s="746"/>
      <c r="G193" s="749"/>
      <c r="H193" s="151" t="s">
        <v>528</v>
      </c>
      <c r="I193" s="169">
        <f ca="1">OFFSET(Cost_Ingredients!$M$146,$D193,0)</f>
        <v>0</v>
      </c>
      <c r="J193" s="64">
        <v>300</v>
      </c>
      <c r="L193" s="169">
        <f ca="1">OFFSET(Cost_Ingredients!N$146,$D193,0)*$J193</f>
        <v>0</v>
      </c>
      <c r="M193" s="169">
        <f ca="1">OFFSET(Cost_Ingredients!O$146,$D193,0)*$J193</f>
        <v>0</v>
      </c>
      <c r="N193" s="176">
        <f ca="1">OFFSET(Cost_Ingredients!P$146,$D193,0)*$J193</f>
        <v>0</v>
      </c>
      <c r="O193" s="176">
        <f ca="1">OFFSET(Cost_Ingredients!Q$146,$D193,0)*$J193</f>
        <v>0</v>
      </c>
      <c r="P193" s="151"/>
    </row>
    <row r="194" spans="3:18" s="23" customFormat="1">
      <c r="D194" s="746">
        <v>1</v>
      </c>
      <c r="E194" s="746"/>
      <c r="F194" s="746"/>
      <c r="G194" s="749"/>
      <c r="H194" s="151" t="s">
        <v>528</v>
      </c>
      <c r="I194" s="169">
        <f ca="1">OFFSET(Cost_Ingredients!$M$146,$D194,0)</f>
        <v>0</v>
      </c>
      <c r="J194" s="64"/>
      <c r="L194" s="169">
        <f ca="1">OFFSET(Cost_Ingredients!N$146,$D194,0)*$J194</f>
        <v>0</v>
      </c>
      <c r="M194" s="169">
        <f ca="1">OFFSET(Cost_Ingredients!O$146,$D194,0)*$J194</f>
        <v>0</v>
      </c>
      <c r="N194" s="176">
        <f ca="1">OFFSET(Cost_Ingredients!P$146,$D194,0)*$J194</f>
        <v>0</v>
      </c>
      <c r="O194" s="176">
        <f ca="1">OFFSET(Cost_Ingredients!Q$146,$D194,0)*$J194</f>
        <v>0</v>
      </c>
      <c r="P194" s="151"/>
    </row>
    <row r="195" spans="3:18" s="23" customFormat="1">
      <c r="D195" s="746">
        <v>1</v>
      </c>
      <c r="E195" s="746"/>
      <c r="F195" s="746"/>
      <c r="G195" s="749"/>
      <c r="H195" s="151" t="s">
        <v>528</v>
      </c>
      <c r="I195" s="169">
        <f ca="1">OFFSET(Cost_Ingredients!$M$146,$D195,0)</f>
        <v>0</v>
      </c>
      <c r="J195" s="64">
        <v>0</v>
      </c>
      <c r="L195" s="169">
        <f ca="1">OFFSET(Cost_Ingredients!N$146,$D195,0)*$J195</f>
        <v>0</v>
      </c>
      <c r="M195" s="169">
        <f ca="1">OFFSET(Cost_Ingredients!O$146,$D195,0)*$J195</f>
        <v>0</v>
      </c>
      <c r="N195" s="176">
        <f ca="1">OFFSET(Cost_Ingredients!P$146,$D195,0)*$J195</f>
        <v>0</v>
      </c>
      <c r="O195" s="176">
        <f ca="1">OFFSET(Cost_Ingredients!Q$146,$D195,0)*$J195</f>
        <v>0</v>
      </c>
      <c r="P195" s="151"/>
    </row>
    <row r="196" spans="3:18" s="23" customFormat="1">
      <c r="D196" s="746">
        <v>1</v>
      </c>
      <c r="E196" s="746"/>
      <c r="F196" s="746"/>
      <c r="G196" s="749"/>
      <c r="H196" s="151" t="s">
        <v>528</v>
      </c>
      <c r="I196" s="169">
        <f ca="1">OFFSET(Cost_Ingredients!$M$146,$D196,0)</f>
        <v>0</v>
      </c>
      <c r="J196" s="64">
        <v>0</v>
      </c>
      <c r="L196" s="169">
        <f ca="1">OFFSET(Cost_Ingredients!N$146,$D196,0)*$J196</f>
        <v>0</v>
      </c>
      <c r="M196" s="169">
        <f ca="1">OFFSET(Cost_Ingredients!O$146,$D196,0)*$J196</f>
        <v>0</v>
      </c>
      <c r="N196" s="176">
        <f ca="1">OFFSET(Cost_Ingredients!P$146,$D196,0)*$J196</f>
        <v>0</v>
      </c>
      <c r="O196" s="176">
        <f ca="1">OFFSET(Cost_Ingredients!Q$146,$D196,0)*$J196</f>
        <v>0</v>
      </c>
      <c r="P196" s="151"/>
    </row>
    <row r="197" spans="3:18" s="23" customFormat="1">
      <c r="D197" s="746">
        <v>1</v>
      </c>
      <c r="E197" s="746"/>
      <c r="F197" s="746"/>
      <c r="G197" s="749"/>
      <c r="H197" s="151" t="s">
        <v>528</v>
      </c>
      <c r="I197" s="169">
        <f ca="1">OFFSET(Cost_Ingredients!$M$146,$D197,0)</f>
        <v>0</v>
      </c>
      <c r="J197" s="64">
        <v>0</v>
      </c>
      <c r="L197" s="169">
        <f ca="1">OFFSET(Cost_Ingredients!N$146,$D197,0)*$J197</f>
        <v>0</v>
      </c>
      <c r="M197" s="169">
        <f ca="1">OFFSET(Cost_Ingredients!O$146,$D197,0)*$J197</f>
        <v>0</v>
      </c>
      <c r="N197" s="176">
        <f ca="1">OFFSET(Cost_Ingredients!P$146,$D197,0)*$J197</f>
        <v>0</v>
      </c>
      <c r="O197" s="176">
        <f ca="1">OFFSET(Cost_Ingredients!Q$146,$D197,0)*$J197</f>
        <v>0</v>
      </c>
      <c r="P197" s="151"/>
    </row>
    <row r="198" spans="3:18" s="23" customFormat="1">
      <c r="D198" s="746">
        <v>1</v>
      </c>
      <c r="E198" s="746"/>
      <c r="F198" s="746"/>
      <c r="G198" s="749"/>
      <c r="H198" s="151" t="s">
        <v>528</v>
      </c>
      <c r="I198" s="169">
        <f ca="1">OFFSET(Cost_Ingredients!$M$146,$D198,0)</f>
        <v>0</v>
      </c>
      <c r="J198" s="64">
        <v>0</v>
      </c>
      <c r="L198" s="169">
        <f ca="1">OFFSET(Cost_Ingredients!N$146,$D198,0)*$J198</f>
        <v>0</v>
      </c>
      <c r="M198" s="169">
        <f ca="1">OFFSET(Cost_Ingredients!O$146,$D198,0)*$J198</f>
        <v>0</v>
      </c>
      <c r="N198" s="176">
        <f ca="1">OFFSET(Cost_Ingredients!P$146,$D198,0)*$J198</f>
        <v>0</v>
      </c>
      <c r="O198" s="176">
        <f ca="1">OFFSET(Cost_Ingredients!Q$146,$D198,0)*$J198</f>
        <v>0</v>
      </c>
      <c r="P198" s="151"/>
    </row>
    <row r="199" spans="3:18" s="23" customFormat="1">
      <c r="D199" s="746">
        <v>1</v>
      </c>
      <c r="E199" s="746"/>
      <c r="F199" s="746"/>
      <c r="G199" s="749"/>
      <c r="H199" s="151" t="s">
        <v>528</v>
      </c>
      <c r="I199" s="169">
        <f ca="1">OFFSET(Cost_Ingredients!$M$146,$D199,0)</f>
        <v>0</v>
      </c>
      <c r="J199" s="64">
        <v>0</v>
      </c>
      <c r="L199" s="169">
        <f ca="1">OFFSET(Cost_Ingredients!N$146,$D199,0)*$J199</f>
        <v>0</v>
      </c>
      <c r="M199" s="169">
        <f ca="1">OFFSET(Cost_Ingredients!O$146,$D199,0)*$J199</f>
        <v>0</v>
      </c>
      <c r="N199" s="176">
        <f ca="1">OFFSET(Cost_Ingredients!P$146,$D199,0)*$J199</f>
        <v>0</v>
      </c>
      <c r="O199" s="176">
        <f ca="1">OFFSET(Cost_Ingredients!Q$146,$D199,0)*$J199</f>
        <v>0</v>
      </c>
      <c r="P199" s="151"/>
    </row>
    <row r="200" spans="3:18" s="23" customFormat="1">
      <c r="D200" s="746">
        <v>1</v>
      </c>
      <c r="E200" s="746"/>
      <c r="F200" s="746"/>
      <c r="G200" s="749"/>
      <c r="H200" s="151" t="s">
        <v>528</v>
      </c>
      <c r="I200" s="169">
        <f ca="1">OFFSET(Cost_Ingredients!$M$146,$D200,0)</f>
        <v>0</v>
      </c>
      <c r="J200" s="64">
        <v>0</v>
      </c>
      <c r="L200" s="169">
        <f ca="1">OFFSET(Cost_Ingredients!N$146,$D200,0)*$J200</f>
        <v>0</v>
      </c>
      <c r="M200" s="169">
        <f ca="1">OFFSET(Cost_Ingredients!O$146,$D200,0)*$J200</f>
        <v>0</v>
      </c>
      <c r="N200" s="176">
        <f ca="1">OFFSET(Cost_Ingredients!P$146,$D200,0)*$J200</f>
        <v>0</v>
      </c>
      <c r="O200" s="176">
        <f ca="1">OFFSET(Cost_Ingredients!Q$146,$D200,0)*$J200</f>
        <v>0</v>
      </c>
      <c r="P200" s="151"/>
    </row>
    <row r="201" spans="3:18" s="23" customFormat="1">
      <c r="D201" s="746">
        <v>1</v>
      </c>
      <c r="E201" s="746"/>
      <c r="F201" s="746"/>
      <c r="G201" s="749"/>
      <c r="H201" s="172" t="s">
        <v>528</v>
      </c>
      <c r="I201" s="169">
        <f ca="1">OFFSET(Cost_Ingredients!$M$146,$D201,0)</f>
        <v>0</v>
      </c>
      <c r="J201" s="173">
        <v>0</v>
      </c>
      <c r="L201" s="169">
        <f ca="1">OFFSET(Cost_Ingredients!N$146,$D201,0)*$J201</f>
        <v>0</v>
      </c>
      <c r="M201" s="169">
        <f ca="1">OFFSET(Cost_Ingredients!O$146,$D201,0)*$J201</f>
        <v>0</v>
      </c>
      <c r="N201" s="176">
        <f ca="1">OFFSET(Cost_Ingredients!P$146,$D201,0)*$J201</f>
        <v>0</v>
      </c>
      <c r="O201" s="176">
        <f ca="1">OFFSET(Cost_Ingredients!Q$146,$D201,0)*$J201</f>
        <v>0</v>
      </c>
      <c r="P201" s="172"/>
    </row>
    <row r="202" spans="3:18" s="23" customFormat="1">
      <c r="D202" s="12"/>
      <c r="E202" s="12"/>
      <c r="F202" s="12"/>
      <c r="G202" s="12"/>
      <c r="H202" s="156"/>
      <c r="I202" s="156"/>
      <c r="J202" s="69"/>
      <c r="L202" s="181">
        <f ca="1">SUM(L193:L201)</f>
        <v>0</v>
      </c>
      <c r="M202" s="181">
        <f ca="1">SUM(M193:M201)</f>
        <v>0</v>
      </c>
      <c r="N202" s="187">
        <f ca="1">SUM(N193:N201)</f>
        <v>0</v>
      </c>
      <c r="O202" s="187">
        <f ca="1">SUM(O193:O201)</f>
        <v>0</v>
      </c>
      <c r="P202" s="156"/>
    </row>
    <row r="203" spans="3:18">
      <c r="Q203" s="23"/>
      <c r="R203" s="23"/>
    </row>
    <row r="204" spans="3:18" ht="15" thickBot="1">
      <c r="C204" s="70" t="str">
        <f>"Total "&amp;FLU_LU!$D$380</f>
        <v>Total Other Recurrent Activity 3</v>
      </c>
      <c r="L204" s="185">
        <f ca="1">SUM(L162,L176,L189,L202)</f>
        <v>30</v>
      </c>
      <c r="M204" s="185">
        <f ca="1">SUM(M162,M176,M189,M202)</f>
        <v>16486.857818181819</v>
      </c>
      <c r="N204" s="184">
        <f ca="1">SUM(N162,N176,N189,N202)</f>
        <v>0.2</v>
      </c>
      <c r="O204" s="184">
        <f ca="1">SUM(O162,O176,O189,O202)</f>
        <v>109.91238545454547</v>
      </c>
      <c r="Q204" s="23"/>
      <c r="R204" s="23"/>
    </row>
    <row r="205" spans="3:18" ht="15" thickTop="1">
      <c r="Q205" s="23"/>
      <c r="R205" s="23"/>
    </row>
    <row r="206" spans="3:18">
      <c r="Q206" s="23"/>
      <c r="R206" s="23"/>
    </row>
    <row r="207" spans="3:18">
      <c r="Q207" s="23"/>
      <c r="R207" s="23"/>
    </row>
    <row r="208" spans="3:18">
      <c r="C208" s="160" t="str">
        <f>"Detailed Cost Estimate: "&amp;Other!$F$22</f>
        <v>Detailed Cost Estimate: Vehicle Acquisition</v>
      </c>
      <c r="Q208" s="23"/>
      <c r="R208" s="23"/>
    </row>
    <row r="209" spans="3:18">
      <c r="Q209" s="23"/>
      <c r="R209" s="23"/>
    </row>
    <row r="210" spans="3:18">
      <c r="C210" s="160" t="str">
        <f>FLU_LU!$D$286</f>
        <v>Vehicles</v>
      </c>
      <c r="Q210" s="23"/>
      <c r="R210" s="23"/>
    </row>
    <row r="211" spans="3:18" ht="57.6">
      <c r="D211" s="733" t="s">
        <v>100</v>
      </c>
      <c r="E211" s="733"/>
      <c r="F211" s="733"/>
      <c r="G211" s="733"/>
      <c r="H211" s="142" t="s">
        <v>274</v>
      </c>
      <c r="I211" s="152" t="s">
        <v>67</v>
      </c>
      <c r="J211" s="28" t="str">
        <f>"Financial Price ("&amp;FLU_LU!$D$79&amp;")"</f>
        <v>Financial Price (GOZ)</v>
      </c>
      <c r="K211" s="28" t="str">
        <f>"Economic Price ("&amp;FLU_LU!$D$79&amp;")"</f>
        <v>Economic Price (GOZ)</v>
      </c>
      <c r="L211" s="28" t="str">
        <f>"Financial Price ("&amp;FLU_LU!$D$78&amp;")"</f>
        <v>Financial Price (USD)</v>
      </c>
      <c r="M211" s="28" t="str">
        <f>"Economic Price ("&amp;FLU_LU!$D$78&amp;")"</f>
        <v>Economic Price (USD)</v>
      </c>
      <c r="N211" s="28" t="str">
        <f>"Financial Price - ANNUALIZED ("&amp;FLU_LU!$D$79&amp;")"</f>
        <v>Financial Price - ANNUALIZED (GOZ)</v>
      </c>
      <c r="O211" s="28" t="str">
        <f>"Economic Price ANNUALIZED ("&amp;FLU_LU!$D$79&amp;")"</f>
        <v>Economic Price ANNUALIZED (GOZ)</v>
      </c>
      <c r="P211" s="28" t="str">
        <f>"Financial Price ANNUALIZED ("&amp;FLU_LU!$D$78&amp;")"</f>
        <v>Financial Price ANNUALIZED (USD)</v>
      </c>
      <c r="Q211" s="28" t="str">
        <f>"Economic Price ANNUALIZED ("&amp;FLU_LU!$D$78&amp;")"</f>
        <v>Economic Price ANNUALIZED (USD)</v>
      </c>
    </row>
    <row r="212" spans="3:18">
      <c r="D212" s="746">
        <v>2</v>
      </c>
      <c r="E212" s="746"/>
      <c r="F212" s="746"/>
      <c r="G212" s="746"/>
      <c r="H212" s="151"/>
      <c r="I212" s="64">
        <v>1</v>
      </c>
      <c r="J212" s="167">
        <f ca="1">OFFSET(Cost_Ingredients!$O$177,D212,0)*I212</f>
        <v>2990295</v>
      </c>
      <c r="K212" s="167">
        <f ca="1">OFFSET(Cost_Ingredients!$P$177,D212,0)*I212</f>
        <v>3000000</v>
      </c>
      <c r="L212" s="225">
        <f ca="1">OFFSET(Cost_Ingredients!$Q$177,D212,0)*I212</f>
        <v>19935.3</v>
      </c>
      <c r="M212" s="225">
        <f ca="1">OFFSET(Cost_Ingredients!$R$177,D212,0)*I212</f>
        <v>20000</v>
      </c>
      <c r="N212" s="167">
        <f ca="1">IFERROR(J212/OFFSET(Cost_Ingredients!$N$177,$D212,0),0)</f>
        <v>373786.875</v>
      </c>
      <c r="O212" s="167">
        <f ca="1">IFERROR(K212/OFFSET(Cost_Ingredients!$N$177,$D212,0),0)</f>
        <v>375000</v>
      </c>
      <c r="P212" s="225">
        <f ca="1">IFERROR(L212/OFFSET(Cost_Ingredients!$N$177,$D212,0),0)</f>
        <v>2491.9124999999999</v>
      </c>
      <c r="Q212" s="225">
        <f ca="1">IFERROR(M212/OFFSET(Cost_Ingredients!$N$177,$D212,0),0)</f>
        <v>2500</v>
      </c>
      <c r="R212" s="23"/>
    </row>
    <row r="213" spans="3:18">
      <c r="D213" s="746">
        <v>3</v>
      </c>
      <c r="E213" s="746"/>
      <c r="F213" s="746"/>
      <c r="G213" s="746"/>
      <c r="H213" s="151"/>
      <c r="I213" s="64">
        <v>1</v>
      </c>
      <c r="J213" s="167">
        <f ca="1">OFFSET(Cost_Ingredients!$O$177,D213,0)*I213</f>
        <v>240750</v>
      </c>
      <c r="K213" s="167">
        <f ca="1">OFFSET(Cost_Ingredients!$P$177,D213,0)*I213</f>
        <v>300000</v>
      </c>
      <c r="L213" s="225">
        <f ca="1">OFFSET(Cost_Ingredients!$Q$177,D213,0)*I213</f>
        <v>1605</v>
      </c>
      <c r="M213" s="225">
        <f ca="1">OFFSET(Cost_Ingredients!$R$177,D213,0)*I213</f>
        <v>2000</v>
      </c>
      <c r="N213" s="167">
        <f ca="1">IFERROR(J213/OFFSET(Cost_Ingredients!$N$177,$D213,0),0)</f>
        <v>48150</v>
      </c>
      <c r="O213" s="167">
        <f ca="1">IFERROR(K213/OFFSET(Cost_Ingredients!$N$177,$D213,0),0)</f>
        <v>60000</v>
      </c>
      <c r="P213" s="225">
        <f ca="1">IFERROR(L213/OFFSET(Cost_Ingredients!$N$177,$D213,0),0)</f>
        <v>321</v>
      </c>
      <c r="Q213" s="225">
        <f ca="1">IFERROR(M213/OFFSET(Cost_Ingredients!$N$177,$D213,0),0)</f>
        <v>400</v>
      </c>
      <c r="R213" s="23"/>
    </row>
    <row r="214" spans="3:18">
      <c r="D214" s="746">
        <v>1</v>
      </c>
      <c r="E214" s="746"/>
      <c r="F214" s="746"/>
      <c r="G214" s="746"/>
      <c r="H214" s="151"/>
      <c r="I214" s="64">
        <v>0</v>
      </c>
      <c r="J214" s="167">
        <f ca="1">OFFSET(Cost_Ingredients!$O$177,D214,0)*I214</f>
        <v>0</v>
      </c>
      <c r="K214" s="167">
        <f ca="1">OFFSET(Cost_Ingredients!$P$177,D214,0)*I214</f>
        <v>0</v>
      </c>
      <c r="L214" s="225">
        <f ca="1">OFFSET(Cost_Ingredients!$Q$177,D214,0)*I214</f>
        <v>0</v>
      </c>
      <c r="M214" s="225">
        <f ca="1">OFFSET(Cost_Ingredients!$R$177,D214,0)*I214</f>
        <v>0</v>
      </c>
      <c r="N214" s="167">
        <f ca="1">IFERROR(J214/OFFSET(Cost_Ingredients!$N$177,$D214,0),0)</f>
        <v>0</v>
      </c>
      <c r="O214" s="167">
        <f ca="1">IFERROR(K214/OFFSET(Cost_Ingredients!$N$177,$D214,0),0)</f>
        <v>0</v>
      </c>
      <c r="P214" s="225">
        <f ca="1">IFERROR(L214/OFFSET(Cost_Ingredients!$N$177,$D214,0),0)</f>
        <v>0</v>
      </c>
      <c r="Q214" s="225">
        <f ca="1">IFERROR(M214/OFFSET(Cost_Ingredients!$N$177,$D214,0),0)</f>
        <v>0</v>
      </c>
      <c r="R214" s="23"/>
    </row>
    <row r="215" spans="3:18">
      <c r="D215" s="746">
        <v>1</v>
      </c>
      <c r="E215" s="746"/>
      <c r="F215" s="746"/>
      <c r="G215" s="746"/>
      <c r="H215" s="151"/>
      <c r="I215" s="64">
        <v>0</v>
      </c>
      <c r="J215" s="167">
        <f ca="1">OFFSET(Cost_Ingredients!$O$177,D215,0)*I215</f>
        <v>0</v>
      </c>
      <c r="K215" s="167">
        <f ca="1">OFFSET(Cost_Ingredients!$P$177,D215,0)*I215</f>
        <v>0</v>
      </c>
      <c r="L215" s="225">
        <f ca="1">OFFSET(Cost_Ingredients!$Q$177,D215,0)*I215</f>
        <v>0</v>
      </c>
      <c r="M215" s="225">
        <f ca="1">OFFSET(Cost_Ingredients!$R$177,D215,0)*I215</f>
        <v>0</v>
      </c>
      <c r="N215" s="167">
        <f ca="1">IFERROR(J215/OFFSET(Cost_Ingredients!$N$177,$D215,0),0)</f>
        <v>0</v>
      </c>
      <c r="O215" s="167">
        <f ca="1">IFERROR(K215/OFFSET(Cost_Ingredients!$N$177,$D215,0),0)</f>
        <v>0</v>
      </c>
      <c r="P215" s="225">
        <f ca="1">IFERROR(L215/OFFSET(Cost_Ingredients!$N$177,$D215,0),0)</f>
        <v>0</v>
      </c>
      <c r="Q215" s="225">
        <f ca="1">IFERROR(M215/OFFSET(Cost_Ingredients!$N$177,$D215,0),0)</f>
        <v>0</v>
      </c>
      <c r="R215" s="23"/>
    </row>
    <row r="216" spans="3:18">
      <c r="D216" s="746">
        <v>1</v>
      </c>
      <c r="E216" s="746"/>
      <c r="F216" s="746"/>
      <c r="G216" s="746"/>
      <c r="H216" s="151"/>
      <c r="I216" s="64">
        <v>0</v>
      </c>
      <c r="J216" s="167">
        <f ca="1">OFFSET(Cost_Ingredients!$O$177,D216,0)*I216</f>
        <v>0</v>
      </c>
      <c r="K216" s="167">
        <f ca="1">OFFSET(Cost_Ingredients!$P$177,D216,0)*I216</f>
        <v>0</v>
      </c>
      <c r="L216" s="225">
        <f ca="1">OFFSET(Cost_Ingredients!$Q$177,D216,0)*I216</f>
        <v>0</v>
      </c>
      <c r="M216" s="225">
        <f ca="1">OFFSET(Cost_Ingredients!$R$177,D216,0)*I216</f>
        <v>0</v>
      </c>
      <c r="N216" s="167">
        <f ca="1">IFERROR(J216/OFFSET(Cost_Ingredients!$N$177,$D216,0),0)</f>
        <v>0</v>
      </c>
      <c r="O216" s="167">
        <f ca="1">IFERROR(K216/OFFSET(Cost_Ingredients!$N$177,$D216,0),0)</f>
        <v>0</v>
      </c>
      <c r="P216" s="225">
        <f ca="1">IFERROR(L216/OFFSET(Cost_Ingredients!$N$177,$D216,0),0)</f>
        <v>0</v>
      </c>
      <c r="Q216" s="225">
        <f ca="1">IFERROR(M216/OFFSET(Cost_Ingredients!$N$177,$D216,0),0)</f>
        <v>0</v>
      </c>
      <c r="R216" s="23"/>
    </row>
    <row r="217" spans="3:18">
      <c r="D217" s="746">
        <v>1</v>
      </c>
      <c r="E217" s="746"/>
      <c r="F217" s="746"/>
      <c r="G217" s="746"/>
      <c r="H217" s="151"/>
      <c r="I217" s="64">
        <v>0</v>
      </c>
      <c r="J217" s="167">
        <f ca="1">OFFSET(Cost_Ingredients!$O$177,D217,0)*I217</f>
        <v>0</v>
      </c>
      <c r="K217" s="167">
        <f ca="1">OFFSET(Cost_Ingredients!$P$177,D217,0)*I217</f>
        <v>0</v>
      </c>
      <c r="L217" s="225">
        <f ca="1">OFFSET(Cost_Ingredients!$Q$177,D217,0)*I217</f>
        <v>0</v>
      </c>
      <c r="M217" s="225">
        <f ca="1">OFFSET(Cost_Ingredients!$R$177,D217,0)*I217</f>
        <v>0</v>
      </c>
      <c r="N217" s="167">
        <f ca="1">IFERROR(J217/OFFSET(Cost_Ingredients!$N$177,$D217,0),0)</f>
        <v>0</v>
      </c>
      <c r="O217" s="167">
        <f ca="1">IFERROR(K217/OFFSET(Cost_Ingredients!$N$177,$D217,0),0)</f>
        <v>0</v>
      </c>
      <c r="P217" s="225">
        <f ca="1">IFERROR(L217/OFFSET(Cost_Ingredients!$N$177,$D217,0),0)</f>
        <v>0</v>
      </c>
      <c r="Q217" s="225">
        <f ca="1">IFERROR(M217/OFFSET(Cost_Ingredients!$N$177,$D217,0),0)</f>
        <v>0</v>
      </c>
      <c r="R217" s="23"/>
    </row>
    <row r="218" spans="3:18">
      <c r="D218" s="779" t="str">
        <f t="shared" ref="D218" si="3">"Total "&amp;C210</f>
        <v>Total Vehicles</v>
      </c>
      <c r="E218" s="779"/>
      <c r="F218" s="779"/>
      <c r="G218" s="779"/>
      <c r="H218" s="152"/>
      <c r="I218" s="18"/>
      <c r="J218" s="196">
        <f t="shared" ref="J218:Q218" ca="1" si="4">SUM(J212:J217)</f>
        <v>3231045</v>
      </c>
      <c r="K218" s="196">
        <f t="shared" ca="1" si="4"/>
        <v>3300000</v>
      </c>
      <c r="L218" s="226">
        <f t="shared" ca="1" si="4"/>
        <v>21540.3</v>
      </c>
      <c r="M218" s="226">
        <f t="shared" ca="1" si="4"/>
        <v>22000</v>
      </c>
      <c r="N218" s="196">
        <f t="shared" ca="1" si="4"/>
        <v>421936.875</v>
      </c>
      <c r="O218" s="196">
        <f t="shared" ca="1" si="4"/>
        <v>435000</v>
      </c>
      <c r="P218" s="226">
        <f t="shared" ca="1" si="4"/>
        <v>2812.9124999999999</v>
      </c>
      <c r="Q218" s="226">
        <f t="shared" ca="1" si="4"/>
        <v>2900</v>
      </c>
    </row>
    <row r="221" spans="3:18">
      <c r="J221" s="61"/>
      <c r="K221" s="61"/>
      <c r="L221" s="61"/>
      <c r="M221" s="61"/>
    </row>
    <row r="222" spans="3:18">
      <c r="C222" s="160" t="str">
        <f>"Detailed Cost Estimate: "&amp;Other!$F$23</f>
        <v>Detailed Cost Estimate: Other Equipment (not Cold Chain) Acquisition</v>
      </c>
    </row>
    <row r="224" spans="3:18">
      <c r="C224" s="160" t="str">
        <f>FLU_LU!$D$287</f>
        <v>Equipment (not Cold Chain)</v>
      </c>
    </row>
    <row r="225" spans="3:17" ht="57.6">
      <c r="D225" s="733" t="s">
        <v>100</v>
      </c>
      <c r="E225" s="733"/>
      <c r="F225" s="733"/>
      <c r="G225" s="733"/>
      <c r="H225" s="142" t="s">
        <v>274</v>
      </c>
      <c r="I225" s="152" t="s">
        <v>67</v>
      </c>
      <c r="J225" s="28" t="str">
        <f>"Financial Price ("&amp;FLU_LU!$D$79&amp;")"</f>
        <v>Financial Price (GOZ)</v>
      </c>
      <c r="K225" s="28" t="str">
        <f>"Economic Price ("&amp;FLU_LU!$D$79&amp;")"</f>
        <v>Economic Price (GOZ)</v>
      </c>
      <c r="L225" s="28" t="str">
        <f>"Financial Price ("&amp;FLU_LU!$D$78&amp;")"</f>
        <v>Financial Price (USD)</v>
      </c>
      <c r="M225" s="28" t="str">
        <f>"Economic Price ("&amp;FLU_LU!$D$78&amp;")"</f>
        <v>Economic Price (USD)</v>
      </c>
      <c r="N225" s="28" t="str">
        <f>"Financial Price - ANNUALIZED ("&amp;FLU_LU!$D$79&amp;")"</f>
        <v>Financial Price - ANNUALIZED (GOZ)</v>
      </c>
      <c r="O225" s="28" t="str">
        <f>"Economic Price ANNUALIZED ("&amp;FLU_LU!$D$79&amp;")"</f>
        <v>Economic Price ANNUALIZED (GOZ)</v>
      </c>
      <c r="P225" s="28" t="str">
        <f>"Financial Price ANNUALIZED ("&amp;FLU_LU!$D$78&amp;")"</f>
        <v>Financial Price ANNUALIZED (USD)</v>
      </c>
      <c r="Q225" s="28" t="str">
        <f>"Economic Price ANNUALIZED ("&amp;FLU_LU!$D$78&amp;")"</f>
        <v>Economic Price ANNUALIZED (USD)</v>
      </c>
    </row>
    <row r="226" spans="3:17">
      <c r="D226" s="746">
        <v>2</v>
      </c>
      <c r="E226" s="746"/>
      <c r="F226" s="746"/>
      <c r="G226" s="749"/>
      <c r="H226" s="151"/>
      <c r="I226" s="64">
        <v>1</v>
      </c>
      <c r="J226" s="175">
        <f ca="1">OFFSET(Cost_Ingredients!$O$190,D226,0)*I226</f>
        <v>180000</v>
      </c>
      <c r="K226" s="175">
        <f ca="1">OFFSET(Cost_Ingredients!$P$190,D226,0)*I226</f>
        <v>180000</v>
      </c>
      <c r="L226" s="343">
        <f ca="1">OFFSET(Cost_Ingredients!$Q$190,D226,0)*I226</f>
        <v>1200</v>
      </c>
      <c r="M226" s="343">
        <f ca="1">OFFSET(Cost_Ingredients!$R$190,D226,0)*I226</f>
        <v>1200</v>
      </c>
      <c r="N226" s="175">
        <f ca="1">IFERROR(J226/OFFSET(Cost_Ingredients!$N$190,$D226,0),0)</f>
        <v>36000</v>
      </c>
      <c r="O226" s="175">
        <f ca="1">IFERROR(K226/OFFSET(Cost_Ingredients!$N$190,$D226,0),0)</f>
        <v>36000</v>
      </c>
      <c r="P226" s="343">
        <f ca="1">IFERROR(L226/OFFSET(Cost_Ingredients!$N$190,$D226,0),0)</f>
        <v>240</v>
      </c>
      <c r="Q226" s="343">
        <f ca="1">IFERROR(M226/OFFSET(Cost_Ingredients!$N$190,$D226,0),0)</f>
        <v>240</v>
      </c>
    </row>
    <row r="227" spans="3:17">
      <c r="D227" s="746">
        <v>1</v>
      </c>
      <c r="E227" s="746"/>
      <c r="F227" s="746"/>
      <c r="G227" s="749"/>
      <c r="H227" s="151"/>
      <c r="I227" s="64">
        <v>1</v>
      </c>
      <c r="J227" s="175">
        <f ca="1">OFFSET(Cost_Ingredients!$O$190,D227,0)*I227</f>
        <v>0</v>
      </c>
      <c r="K227" s="175">
        <f ca="1">OFFSET(Cost_Ingredients!$P$190,D227,0)*I227</f>
        <v>0</v>
      </c>
      <c r="L227" s="343">
        <f ca="1">OFFSET(Cost_Ingredients!$Q$190,D227,0)*I227</f>
        <v>0</v>
      </c>
      <c r="M227" s="343">
        <f ca="1">OFFSET(Cost_Ingredients!$R$190,D227,0)*I227</f>
        <v>0</v>
      </c>
      <c r="N227" s="175">
        <f ca="1">IFERROR(J227/OFFSET(Cost_Ingredients!$N$190,$D227,0),0)</f>
        <v>0</v>
      </c>
      <c r="O227" s="175">
        <f ca="1">IFERROR(K227/OFFSET(Cost_Ingredients!$N$190,$D227,0),0)</f>
        <v>0</v>
      </c>
      <c r="P227" s="343">
        <f ca="1">IFERROR(L227/OFFSET(Cost_Ingredients!$N$190,$D227,0),0)</f>
        <v>0</v>
      </c>
      <c r="Q227" s="343">
        <f ca="1">IFERROR(M227/OFFSET(Cost_Ingredients!$N$190,$D227,0),0)</f>
        <v>0</v>
      </c>
    </row>
    <row r="228" spans="3:17">
      <c r="D228" s="746">
        <v>1</v>
      </c>
      <c r="E228" s="746"/>
      <c r="F228" s="746"/>
      <c r="G228" s="749"/>
      <c r="H228" s="151"/>
      <c r="I228" s="64">
        <v>0</v>
      </c>
      <c r="J228" s="175">
        <f ca="1">OFFSET(Cost_Ingredients!$O$190,D228,0)*I228</f>
        <v>0</v>
      </c>
      <c r="K228" s="175">
        <f ca="1">OFFSET(Cost_Ingredients!$P$190,D228,0)*I228</f>
        <v>0</v>
      </c>
      <c r="L228" s="343">
        <f ca="1">OFFSET(Cost_Ingredients!$Q$190,D228,0)*I228</f>
        <v>0</v>
      </c>
      <c r="M228" s="343">
        <f ca="1">OFFSET(Cost_Ingredients!$R$190,D228,0)*I228</f>
        <v>0</v>
      </c>
      <c r="N228" s="175">
        <f ca="1">IFERROR(J228/OFFSET(Cost_Ingredients!$N$190,$D228,0),0)</f>
        <v>0</v>
      </c>
      <c r="O228" s="175">
        <f ca="1">IFERROR(K228/OFFSET(Cost_Ingredients!$N$190,$D228,0),0)</f>
        <v>0</v>
      </c>
      <c r="P228" s="343">
        <f ca="1">IFERROR(L228/OFFSET(Cost_Ingredients!$N$190,$D228,0),0)</f>
        <v>0</v>
      </c>
      <c r="Q228" s="343">
        <f ca="1">IFERROR(M228/OFFSET(Cost_Ingredients!$N$190,$D228,0),0)</f>
        <v>0</v>
      </c>
    </row>
    <row r="229" spans="3:17">
      <c r="D229" s="746">
        <v>1</v>
      </c>
      <c r="E229" s="746"/>
      <c r="F229" s="746"/>
      <c r="G229" s="749"/>
      <c r="H229" s="151"/>
      <c r="I229" s="64">
        <v>0</v>
      </c>
      <c r="J229" s="175">
        <f ca="1">OFFSET(Cost_Ingredients!$O$190,D229,0)*I229</f>
        <v>0</v>
      </c>
      <c r="K229" s="175">
        <f ca="1">OFFSET(Cost_Ingredients!$P$190,D229,0)*I229</f>
        <v>0</v>
      </c>
      <c r="L229" s="343">
        <f ca="1">OFFSET(Cost_Ingredients!$Q$190,D229,0)*I229</f>
        <v>0</v>
      </c>
      <c r="M229" s="343">
        <f ca="1">OFFSET(Cost_Ingredients!$R$190,D229,0)*I229</f>
        <v>0</v>
      </c>
      <c r="N229" s="175">
        <f ca="1">IFERROR(J229/OFFSET(Cost_Ingredients!$N$190,$D229,0),0)</f>
        <v>0</v>
      </c>
      <c r="O229" s="175">
        <f ca="1">IFERROR(K229/OFFSET(Cost_Ingredients!$N$190,$D229,0),0)</f>
        <v>0</v>
      </c>
      <c r="P229" s="343">
        <f ca="1">IFERROR(L229/OFFSET(Cost_Ingredients!$N$190,$D229,0),0)</f>
        <v>0</v>
      </c>
      <c r="Q229" s="343">
        <f ca="1">IFERROR(M229/OFFSET(Cost_Ingredients!$N$190,$D229,0),0)</f>
        <v>0</v>
      </c>
    </row>
    <row r="230" spans="3:17">
      <c r="D230" s="746">
        <v>1</v>
      </c>
      <c r="E230" s="746"/>
      <c r="F230" s="746"/>
      <c r="G230" s="749"/>
      <c r="H230" s="151"/>
      <c r="I230" s="64">
        <v>0</v>
      </c>
      <c r="J230" s="175">
        <f ca="1">OFFSET(Cost_Ingredients!$O$190,D230,0)*I230</f>
        <v>0</v>
      </c>
      <c r="K230" s="175">
        <f ca="1">OFFSET(Cost_Ingredients!$P$190,D230,0)*I230</f>
        <v>0</v>
      </c>
      <c r="L230" s="343">
        <f ca="1">OFFSET(Cost_Ingredients!$Q$190,D230,0)*I230</f>
        <v>0</v>
      </c>
      <c r="M230" s="343">
        <f ca="1">OFFSET(Cost_Ingredients!$R$190,D230,0)*I230</f>
        <v>0</v>
      </c>
      <c r="N230" s="175">
        <f ca="1">IFERROR(J230/OFFSET(Cost_Ingredients!$N$190,$D230,0),0)</f>
        <v>0</v>
      </c>
      <c r="O230" s="175">
        <f ca="1">IFERROR(K230/OFFSET(Cost_Ingredients!$N$190,$D230,0),0)</f>
        <v>0</v>
      </c>
      <c r="P230" s="343">
        <f ca="1">IFERROR(L230/OFFSET(Cost_Ingredients!$N$190,$D230,0),0)</f>
        <v>0</v>
      </c>
      <c r="Q230" s="343">
        <f ca="1">IFERROR(M230/OFFSET(Cost_Ingredients!$N$190,$D230,0),0)</f>
        <v>0</v>
      </c>
    </row>
    <row r="231" spans="3:17">
      <c r="D231" s="746">
        <v>1</v>
      </c>
      <c r="E231" s="746"/>
      <c r="F231" s="746"/>
      <c r="G231" s="749"/>
      <c r="H231" s="151"/>
      <c r="I231" s="64">
        <v>0</v>
      </c>
      <c r="J231" s="175">
        <f ca="1">OFFSET(Cost_Ingredients!$O$190,D231,0)*I231</f>
        <v>0</v>
      </c>
      <c r="K231" s="175">
        <f ca="1">OFFSET(Cost_Ingredients!$P$190,D231,0)*I231</f>
        <v>0</v>
      </c>
      <c r="L231" s="343">
        <f ca="1">OFFSET(Cost_Ingredients!$Q$190,D231,0)*I231</f>
        <v>0</v>
      </c>
      <c r="M231" s="343">
        <f ca="1">OFFSET(Cost_Ingredients!$R$190,D231,0)*I231</f>
        <v>0</v>
      </c>
      <c r="N231" s="175">
        <f ca="1">IFERROR(J231/OFFSET(Cost_Ingredients!$N$190,$D231,0),0)</f>
        <v>0</v>
      </c>
      <c r="O231" s="175">
        <f ca="1">IFERROR(K231/OFFSET(Cost_Ingredients!$N$190,$D231,0),0)</f>
        <v>0</v>
      </c>
      <c r="P231" s="343">
        <f ca="1">IFERROR(L231/OFFSET(Cost_Ingredients!$N$190,$D231,0),0)</f>
        <v>0</v>
      </c>
      <c r="Q231" s="343">
        <f ca="1">IFERROR(M231/OFFSET(Cost_Ingredients!$N$190,$D231,0),0)</f>
        <v>0</v>
      </c>
    </row>
    <row r="232" spans="3:17">
      <c r="D232" s="779" t="str">
        <f t="shared" ref="D232" si="5">"Total "&amp;C224</f>
        <v>Total Equipment (not Cold Chain)</v>
      </c>
      <c r="E232" s="779"/>
      <c r="F232" s="779"/>
      <c r="G232" s="779"/>
      <c r="H232" s="152"/>
      <c r="I232" s="18"/>
      <c r="J232" s="196">
        <f t="shared" ref="J232:Q232" ca="1" si="6">SUM(J226:J231)</f>
        <v>180000</v>
      </c>
      <c r="K232" s="196">
        <f t="shared" ca="1" si="6"/>
        <v>180000</v>
      </c>
      <c r="L232" s="226">
        <f t="shared" ca="1" si="6"/>
        <v>1200</v>
      </c>
      <c r="M232" s="226">
        <f t="shared" ca="1" si="6"/>
        <v>1200</v>
      </c>
      <c r="N232" s="196">
        <f t="shared" ca="1" si="6"/>
        <v>36000</v>
      </c>
      <c r="O232" s="196">
        <f t="shared" ca="1" si="6"/>
        <v>36000</v>
      </c>
      <c r="P232" s="226">
        <f t="shared" ca="1" si="6"/>
        <v>240</v>
      </c>
      <c r="Q232" s="226">
        <f t="shared" ca="1" si="6"/>
        <v>240</v>
      </c>
    </row>
    <row r="235" spans="3:17">
      <c r="C235" s="160" t="str">
        <f>"Detailed Cost Estimate: "&amp;Other!$F$24</f>
        <v>Detailed Cost Estimate: Other Capital Costs not elsewhere included</v>
      </c>
    </row>
    <row r="237" spans="3:17">
      <c r="C237" s="160" t="str">
        <f>FLU_LU!$D$289</f>
        <v>Other Direct Costs (Capital)</v>
      </c>
    </row>
    <row r="238" spans="3:17" ht="57.6">
      <c r="D238" s="733" t="s">
        <v>100</v>
      </c>
      <c r="E238" s="733"/>
      <c r="F238" s="733"/>
      <c r="G238" s="733"/>
      <c r="H238" s="142" t="s">
        <v>274</v>
      </c>
      <c r="I238" s="152" t="s">
        <v>67</v>
      </c>
      <c r="J238" s="28" t="str">
        <f>"Financial Price ("&amp;FLU_LU!$D$79&amp;")"</f>
        <v>Financial Price (GOZ)</v>
      </c>
      <c r="K238" s="28" t="str">
        <f>"Economic Price ("&amp;FLU_LU!$D$79&amp;")"</f>
        <v>Economic Price (GOZ)</v>
      </c>
      <c r="L238" s="28" t="str">
        <f>"Financial Price ("&amp;FLU_LU!$D$78&amp;")"</f>
        <v>Financial Price (USD)</v>
      </c>
      <c r="M238" s="28" t="str">
        <f>"Economic Price ("&amp;FLU_LU!$D$78&amp;")"</f>
        <v>Economic Price (USD)</v>
      </c>
      <c r="N238" s="28" t="str">
        <f>"Financial Price - ANNUALIZED ("&amp;FLU_LU!$D$79&amp;")"</f>
        <v>Financial Price - ANNUALIZED (GOZ)</v>
      </c>
      <c r="O238" s="28" t="str">
        <f>"Economic Price ANNUALIZED ("&amp;FLU_LU!$D$79&amp;")"</f>
        <v>Economic Price ANNUALIZED (GOZ)</v>
      </c>
      <c r="P238" s="28" t="str">
        <f>"Financial Price ANNUALIZED ("&amp;FLU_LU!$D$78&amp;")"</f>
        <v>Financial Price ANNUALIZED (USD)</v>
      </c>
      <c r="Q238" s="28" t="str">
        <f>"Economic Price ANNUALIZED ("&amp;FLU_LU!$D$78&amp;")"</f>
        <v>Economic Price ANNUALIZED (USD)</v>
      </c>
    </row>
    <row r="239" spans="3:17">
      <c r="D239" s="746">
        <v>2</v>
      </c>
      <c r="E239" s="746"/>
      <c r="F239" s="746"/>
      <c r="G239" s="749"/>
      <c r="H239" s="151"/>
      <c r="I239" s="64">
        <v>1</v>
      </c>
      <c r="J239" s="175">
        <f ca="1">OFFSET(Cost_Ingredients!$O$222,D239,0)*I239</f>
        <v>300000</v>
      </c>
      <c r="K239" s="175">
        <f ca="1">OFFSET(Cost_Ingredients!$P$222,D239,0)*I239</f>
        <v>450000</v>
      </c>
      <c r="L239" s="343">
        <f ca="1">OFFSET(Cost_Ingredients!$Q$222,D239,0)*I239</f>
        <v>2000</v>
      </c>
      <c r="M239" s="343">
        <f ca="1">OFFSET(Cost_Ingredients!$R$222,D239,0)*I239</f>
        <v>3000</v>
      </c>
      <c r="N239" s="175">
        <f ca="1">IFERROR(J239/OFFSET(Cost_Ingredients!$N$222,$D239,0),0)</f>
        <v>60000</v>
      </c>
      <c r="O239" s="175">
        <f ca="1">IFERROR(K239/OFFSET(Cost_Ingredients!$N$222,$D239,0),0)</f>
        <v>90000</v>
      </c>
      <c r="P239" s="343">
        <f ca="1">IFERROR(L239/OFFSET(Cost_Ingredients!$N$222,$D239,0),0)</f>
        <v>400</v>
      </c>
      <c r="Q239" s="343">
        <f ca="1">IFERROR(M239/OFFSET(Cost_Ingredients!$N$222,$D239,0),0)</f>
        <v>600</v>
      </c>
    </row>
    <row r="240" spans="3:17">
      <c r="D240" s="746">
        <v>1</v>
      </c>
      <c r="E240" s="746"/>
      <c r="F240" s="746"/>
      <c r="G240" s="749"/>
      <c r="H240" s="151"/>
      <c r="I240" s="64">
        <v>1</v>
      </c>
      <c r="J240" s="175">
        <f ca="1">OFFSET(Cost_Ingredients!$O$222,D240,0)*I240</f>
        <v>0</v>
      </c>
      <c r="K240" s="175">
        <f ca="1">OFFSET(Cost_Ingredients!$P$222,D240,0)*I240</f>
        <v>0</v>
      </c>
      <c r="L240" s="343">
        <f ca="1">OFFSET(Cost_Ingredients!$Q$222,D240,0)*I240</f>
        <v>0</v>
      </c>
      <c r="M240" s="343">
        <f ca="1">OFFSET(Cost_Ingredients!$R$222,D240,0)*I240</f>
        <v>0</v>
      </c>
      <c r="N240" s="175">
        <f ca="1">IFERROR(J240/OFFSET(Cost_Ingredients!$N$222,$D240,0),0)</f>
        <v>0</v>
      </c>
      <c r="O240" s="175">
        <f ca="1">IFERROR(K240/OFFSET(Cost_Ingredients!$N$222,$D240,0),0)</f>
        <v>0</v>
      </c>
      <c r="P240" s="343">
        <f ca="1">IFERROR(L240/OFFSET(Cost_Ingredients!$N$222,$D240,0),0)</f>
        <v>0</v>
      </c>
      <c r="Q240" s="343">
        <f ca="1">IFERROR(M240/OFFSET(Cost_Ingredients!$N$222,$D240,0),0)</f>
        <v>0</v>
      </c>
    </row>
    <row r="241" spans="4:17">
      <c r="D241" s="746">
        <v>1</v>
      </c>
      <c r="E241" s="746"/>
      <c r="F241" s="746"/>
      <c r="G241" s="749"/>
      <c r="H241" s="151"/>
      <c r="I241" s="64">
        <v>0</v>
      </c>
      <c r="J241" s="175">
        <f ca="1">OFFSET(Cost_Ingredients!$O$222,D241,0)*I241</f>
        <v>0</v>
      </c>
      <c r="K241" s="175">
        <f ca="1">OFFSET(Cost_Ingredients!$P$222,D241,0)*I241</f>
        <v>0</v>
      </c>
      <c r="L241" s="343">
        <f ca="1">OFFSET(Cost_Ingredients!$Q$222,D241,0)*I241</f>
        <v>0</v>
      </c>
      <c r="M241" s="343">
        <f ca="1">OFFSET(Cost_Ingredients!$R$222,D241,0)*I241</f>
        <v>0</v>
      </c>
      <c r="N241" s="175">
        <f ca="1">IFERROR(J241/OFFSET(Cost_Ingredients!$N$222,$D241,0),0)</f>
        <v>0</v>
      </c>
      <c r="O241" s="175">
        <f ca="1">IFERROR(K241/OFFSET(Cost_Ingredients!$N$222,$D241,0),0)</f>
        <v>0</v>
      </c>
      <c r="P241" s="343">
        <f ca="1">IFERROR(L241/OFFSET(Cost_Ingredients!$N$222,$D241,0),0)</f>
        <v>0</v>
      </c>
      <c r="Q241" s="343">
        <f ca="1">IFERROR(M241/OFFSET(Cost_Ingredients!$N$222,$D241,0),0)</f>
        <v>0</v>
      </c>
    </row>
    <row r="242" spans="4:17">
      <c r="D242" s="746">
        <v>1</v>
      </c>
      <c r="E242" s="746"/>
      <c r="F242" s="746"/>
      <c r="G242" s="749"/>
      <c r="H242" s="151"/>
      <c r="I242" s="64">
        <v>0</v>
      </c>
      <c r="J242" s="175">
        <f ca="1">OFFSET(Cost_Ingredients!$O$222,D242,0)*I242</f>
        <v>0</v>
      </c>
      <c r="K242" s="175">
        <f ca="1">OFFSET(Cost_Ingredients!$P$222,D242,0)*I242</f>
        <v>0</v>
      </c>
      <c r="L242" s="343">
        <f ca="1">OFFSET(Cost_Ingredients!$Q$222,D242,0)*I242</f>
        <v>0</v>
      </c>
      <c r="M242" s="343">
        <f ca="1">OFFSET(Cost_Ingredients!$R$222,D242,0)*I242</f>
        <v>0</v>
      </c>
      <c r="N242" s="175">
        <f ca="1">IFERROR(J242/OFFSET(Cost_Ingredients!$N$222,$D242,0),0)</f>
        <v>0</v>
      </c>
      <c r="O242" s="175">
        <f ca="1">IFERROR(K242/OFFSET(Cost_Ingredients!$N$222,$D242,0),0)</f>
        <v>0</v>
      </c>
      <c r="P242" s="343">
        <f ca="1">IFERROR(L242/OFFSET(Cost_Ingredients!$N$222,$D242,0),0)</f>
        <v>0</v>
      </c>
      <c r="Q242" s="343">
        <f ca="1">IFERROR(M242/OFFSET(Cost_Ingredients!$N$222,$D242,0),0)</f>
        <v>0</v>
      </c>
    </row>
    <row r="243" spans="4:17">
      <c r="D243" s="746">
        <v>1</v>
      </c>
      <c r="E243" s="746"/>
      <c r="F243" s="746"/>
      <c r="G243" s="749"/>
      <c r="H243" s="151"/>
      <c r="I243" s="64">
        <v>0</v>
      </c>
      <c r="J243" s="175">
        <f ca="1">OFFSET(Cost_Ingredients!$O$222,D243,0)*I243</f>
        <v>0</v>
      </c>
      <c r="K243" s="175">
        <f ca="1">OFFSET(Cost_Ingredients!$P$222,D243,0)*I243</f>
        <v>0</v>
      </c>
      <c r="L243" s="343">
        <f ca="1">OFFSET(Cost_Ingredients!$Q$222,D243,0)*I243</f>
        <v>0</v>
      </c>
      <c r="M243" s="343">
        <f ca="1">OFFSET(Cost_Ingredients!$R$222,D243,0)*I243</f>
        <v>0</v>
      </c>
      <c r="N243" s="175">
        <f ca="1">IFERROR(J243/OFFSET(Cost_Ingredients!$N$222,$D243,0),0)</f>
        <v>0</v>
      </c>
      <c r="O243" s="175">
        <f ca="1">IFERROR(K243/OFFSET(Cost_Ingredients!$N$222,$D243,0),0)</f>
        <v>0</v>
      </c>
      <c r="P243" s="343">
        <f ca="1">IFERROR(L243/OFFSET(Cost_Ingredients!$N$222,$D243,0),0)</f>
        <v>0</v>
      </c>
      <c r="Q243" s="343">
        <f ca="1">IFERROR(M243/OFFSET(Cost_Ingredients!$N$222,$D243,0),0)</f>
        <v>0</v>
      </c>
    </row>
    <row r="244" spans="4:17">
      <c r="D244" s="746">
        <v>1</v>
      </c>
      <c r="E244" s="746"/>
      <c r="F244" s="746"/>
      <c r="G244" s="749"/>
      <c r="H244" s="151"/>
      <c r="I244" s="64">
        <v>0</v>
      </c>
      <c r="J244" s="175">
        <f ca="1">OFFSET(Cost_Ingredients!$O$222,D244,0)*I244</f>
        <v>0</v>
      </c>
      <c r="K244" s="175">
        <f ca="1">OFFSET(Cost_Ingredients!$P$222,D244,0)*I244</f>
        <v>0</v>
      </c>
      <c r="L244" s="343">
        <f ca="1">OFFSET(Cost_Ingredients!$Q$222,D244,0)*I244</f>
        <v>0</v>
      </c>
      <c r="M244" s="343">
        <f ca="1">OFFSET(Cost_Ingredients!$R$222,D244,0)*I244</f>
        <v>0</v>
      </c>
      <c r="N244" s="175">
        <f ca="1">IFERROR(J244/OFFSET(Cost_Ingredients!$N$222,$D244,0),0)</f>
        <v>0</v>
      </c>
      <c r="O244" s="175">
        <f ca="1">IFERROR(K244/OFFSET(Cost_Ingredients!$N$222,$D244,0),0)</f>
        <v>0</v>
      </c>
      <c r="P244" s="343">
        <f ca="1">IFERROR(L244/OFFSET(Cost_Ingredients!$N$222,$D244,0),0)</f>
        <v>0</v>
      </c>
      <c r="Q244" s="343">
        <f ca="1">IFERROR(M244/OFFSET(Cost_Ingredients!$N$222,$D244,0),0)</f>
        <v>0</v>
      </c>
    </row>
    <row r="245" spans="4:17">
      <c r="D245" s="779" t="str">
        <f t="shared" ref="D245" si="7">"Total "&amp;C237</f>
        <v>Total Other Direct Costs (Capital)</v>
      </c>
      <c r="E245" s="779"/>
      <c r="F245" s="779"/>
      <c r="G245" s="779"/>
      <c r="H245" s="152"/>
      <c r="I245" s="18"/>
      <c r="J245" s="196">
        <f t="shared" ref="J245:Q245" ca="1" si="8">SUM(J239:J244)</f>
        <v>300000</v>
      </c>
      <c r="K245" s="196">
        <f t="shared" ca="1" si="8"/>
        <v>450000</v>
      </c>
      <c r="L245" s="226">
        <f t="shared" ca="1" si="8"/>
        <v>2000</v>
      </c>
      <c r="M245" s="226">
        <f t="shared" ca="1" si="8"/>
        <v>3000</v>
      </c>
      <c r="N245" s="196">
        <f t="shared" ca="1" si="8"/>
        <v>60000</v>
      </c>
      <c r="O245" s="196">
        <f t="shared" ca="1" si="8"/>
        <v>90000</v>
      </c>
      <c r="P245" s="226">
        <f t="shared" ca="1" si="8"/>
        <v>400</v>
      </c>
      <c r="Q245" s="226">
        <f t="shared" ca="1" si="8"/>
        <v>600</v>
      </c>
    </row>
  </sheetData>
  <mergeCells count="202">
    <mergeCell ref="D242:G242"/>
    <mergeCell ref="D243:G243"/>
    <mergeCell ref="D244:G244"/>
    <mergeCell ref="D245:G245"/>
    <mergeCell ref="D226:G226"/>
    <mergeCell ref="D227:G227"/>
    <mergeCell ref="D228:G228"/>
    <mergeCell ref="D229:G229"/>
    <mergeCell ref="D230:G230"/>
    <mergeCell ref="D231:G231"/>
    <mergeCell ref="D232:G232"/>
    <mergeCell ref="D238:G238"/>
    <mergeCell ref="D239:G239"/>
    <mergeCell ref="D213:G213"/>
    <mergeCell ref="D214:G214"/>
    <mergeCell ref="D215:G215"/>
    <mergeCell ref="D216:G216"/>
    <mergeCell ref="D217:G217"/>
    <mergeCell ref="D218:G218"/>
    <mergeCell ref="D225:G225"/>
    <mergeCell ref="D240:G240"/>
    <mergeCell ref="D241:G241"/>
    <mergeCell ref="D48:G48"/>
    <mergeCell ref="D49:G49"/>
    <mergeCell ref="D50:G50"/>
    <mergeCell ref="D51:G51"/>
    <mergeCell ref="D52:G52"/>
    <mergeCell ref="D53:G53"/>
    <mergeCell ref="D211:G211"/>
    <mergeCell ref="D212:G212"/>
    <mergeCell ref="D54:G54"/>
    <mergeCell ref="D55:G55"/>
    <mergeCell ref="D88:G88"/>
    <mergeCell ref="D105:G105"/>
    <mergeCell ref="D106:G106"/>
    <mergeCell ref="D107:G107"/>
    <mergeCell ref="D108:G108"/>
    <mergeCell ref="D109:G109"/>
    <mergeCell ref="D100:G100"/>
    <mergeCell ref="D101:G101"/>
    <mergeCell ref="D102:G102"/>
    <mergeCell ref="D103:G103"/>
    <mergeCell ref="D104:G104"/>
    <mergeCell ref="D118:G118"/>
    <mergeCell ref="D119:G119"/>
    <mergeCell ref="D120:G120"/>
    <mergeCell ref="B3:F3"/>
    <mergeCell ref="D47:G47"/>
    <mergeCell ref="D33:G33"/>
    <mergeCell ref="D34:G34"/>
    <mergeCell ref="D35:G35"/>
    <mergeCell ref="D36:G36"/>
    <mergeCell ref="D37:G37"/>
    <mergeCell ref="D38:G38"/>
    <mergeCell ref="D14:G14"/>
    <mergeCell ref="D15:G15"/>
    <mergeCell ref="D16:G16"/>
    <mergeCell ref="D23:G23"/>
    <mergeCell ref="D22:G22"/>
    <mergeCell ref="D21:G21"/>
    <mergeCell ref="D20:G20"/>
    <mergeCell ref="D28:G28"/>
    <mergeCell ref="D27:G27"/>
    <mergeCell ref="D26:G26"/>
    <mergeCell ref="D25:G25"/>
    <mergeCell ref="D24:G24"/>
    <mergeCell ref="D43:G43"/>
    <mergeCell ref="D42:G42"/>
    <mergeCell ref="D41:G41"/>
    <mergeCell ref="H35:I35"/>
    <mergeCell ref="H36:I36"/>
    <mergeCell ref="H37:I37"/>
    <mergeCell ref="H38:I38"/>
    <mergeCell ref="H39:I39"/>
    <mergeCell ref="H33:I33"/>
    <mergeCell ref="H34:I34"/>
    <mergeCell ref="H40:I40"/>
    <mergeCell ref="H10:L10"/>
    <mergeCell ref="H41:I41"/>
    <mergeCell ref="H42:I42"/>
    <mergeCell ref="H43:I43"/>
    <mergeCell ref="D17:G17"/>
    <mergeCell ref="D18:G18"/>
    <mergeCell ref="D19:G19"/>
    <mergeCell ref="D85:G85"/>
    <mergeCell ref="D86:G86"/>
    <mergeCell ref="D87:G87"/>
    <mergeCell ref="D84:G84"/>
    <mergeCell ref="D67:G67"/>
    <mergeCell ref="D68:G68"/>
    <mergeCell ref="D69:G69"/>
    <mergeCell ref="D62:G62"/>
    <mergeCell ref="D63:G63"/>
    <mergeCell ref="D64:G64"/>
    <mergeCell ref="D65:G65"/>
    <mergeCell ref="D66:G66"/>
    <mergeCell ref="D40:G40"/>
    <mergeCell ref="D39:G39"/>
    <mergeCell ref="D29:G29"/>
    <mergeCell ref="D60:G60"/>
    <mergeCell ref="D61:G61"/>
    <mergeCell ref="D56:G56"/>
    <mergeCell ref="H76:P76"/>
    <mergeCell ref="D80:G80"/>
    <mergeCell ref="D81:G81"/>
    <mergeCell ref="D82:G82"/>
    <mergeCell ref="D83:G83"/>
    <mergeCell ref="D93:G93"/>
    <mergeCell ref="D94:G94"/>
    <mergeCell ref="D95:G95"/>
    <mergeCell ref="D99:G99"/>
    <mergeCell ref="H99:I99"/>
    <mergeCell ref="D89:G89"/>
    <mergeCell ref="D90:G90"/>
    <mergeCell ref="D91:G91"/>
    <mergeCell ref="D92:G92"/>
    <mergeCell ref="H105:I105"/>
    <mergeCell ref="H106:I106"/>
    <mergeCell ref="H107:I107"/>
    <mergeCell ref="H108:I108"/>
    <mergeCell ref="H109:I109"/>
    <mergeCell ref="H100:I100"/>
    <mergeCell ref="H101:I101"/>
    <mergeCell ref="H102:I102"/>
    <mergeCell ref="H103:I103"/>
    <mergeCell ref="H104:I104"/>
    <mergeCell ref="D121:G121"/>
    <mergeCell ref="D122:G122"/>
    <mergeCell ref="D113:G113"/>
    <mergeCell ref="D114:G114"/>
    <mergeCell ref="D115:G115"/>
    <mergeCell ref="D116:G116"/>
    <mergeCell ref="D117:G117"/>
    <mergeCell ref="D131:G131"/>
    <mergeCell ref="D132:G132"/>
    <mergeCell ref="D133:G133"/>
    <mergeCell ref="D134:G134"/>
    <mergeCell ref="D135:G135"/>
    <mergeCell ref="D126:G126"/>
    <mergeCell ref="D127:G127"/>
    <mergeCell ref="D128:G128"/>
    <mergeCell ref="D129:G129"/>
    <mergeCell ref="D130:G130"/>
    <mergeCell ref="D150:G150"/>
    <mergeCell ref="D151:G151"/>
    <mergeCell ref="D152:G152"/>
    <mergeCell ref="D153:G153"/>
    <mergeCell ref="D154:G154"/>
    <mergeCell ref="H142:P142"/>
    <mergeCell ref="D146:G146"/>
    <mergeCell ref="D147:G147"/>
    <mergeCell ref="D148:G148"/>
    <mergeCell ref="D149:G149"/>
    <mergeCell ref="D159:G159"/>
    <mergeCell ref="D160:G160"/>
    <mergeCell ref="D161:G161"/>
    <mergeCell ref="D165:G165"/>
    <mergeCell ref="H165:I165"/>
    <mergeCell ref="D155:G155"/>
    <mergeCell ref="D156:G156"/>
    <mergeCell ref="D157:G157"/>
    <mergeCell ref="D158:G158"/>
    <mergeCell ref="D171:G171"/>
    <mergeCell ref="D172:G172"/>
    <mergeCell ref="D173:G173"/>
    <mergeCell ref="D174:G174"/>
    <mergeCell ref="D175:G175"/>
    <mergeCell ref="D166:G166"/>
    <mergeCell ref="D167:G167"/>
    <mergeCell ref="D168:G168"/>
    <mergeCell ref="D169:G169"/>
    <mergeCell ref="D170:G170"/>
    <mergeCell ref="H171:I171"/>
    <mergeCell ref="H172:I172"/>
    <mergeCell ref="H173:I173"/>
    <mergeCell ref="H174:I174"/>
    <mergeCell ref="H175:I175"/>
    <mergeCell ref="H166:I166"/>
    <mergeCell ref="H167:I167"/>
    <mergeCell ref="H168:I168"/>
    <mergeCell ref="H169:I169"/>
    <mergeCell ref="H170:I170"/>
    <mergeCell ref="D184:G184"/>
    <mergeCell ref="D185:G185"/>
    <mergeCell ref="D186:G186"/>
    <mergeCell ref="D187:G187"/>
    <mergeCell ref="D188:G188"/>
    <mergeCell ref="D179:G179"/>
    <mergeCell ref="D180:G180"/>
    <mergeCell ref="D181:G181"/>
    <mergeCell ref="D182:G182"/>
    <mergeCell ref="D183:G183"/>
    <mergeCell ref="D197:G197"/>
    <mergeCell ref="D198:G198"/>
    <mergeCell ref="D199:G199"/>
    <mergeCell ref="D200:G200"/>
    <mergeCell ref="D201:G201"/>
    <mergeCell ref="D192:G192"/>
    <mergeCell ref="D193:G193"/>
    <mergeCell ref="D194:G194"/>
    <mergeCell ref="D195:G195"/>
    <mergeCell ref="D196:G196"/>
  </mergeCells>
  <dataValidations disablePrompts="1" count="10">
    <dataValidation type="decimal" operator="greaterThanOrEqual" allowBlank="1" showDropDown="1" showErrorMessage="1" errorTitle="Invalid Assumption" error="Assumption must be a value greater than or equal to zero." sqref="J34:J43 J61:J69 J48:J56 J127:J135 J114:J122 J100:J109 J147:J161 J193:J201 J180:J188 J166:J175 J81:J95 J15:J29" xr:uid="{00000000-0002-0000-1F00-000000000000}">
      <formula1>0</formula1>
    </dataValidation>
    <dataValidation type="whole" showDropDown="1" showErrorMessage="1" errorTitle="Drop Down Box Cell Link" error="The value in a drop down box cell link must be a whole number within the control's lookup range rows." sqref="D61:D69 D193:G201 D127:G135" xr:uid="{00000000-0002-0000-1F00-000001000000}">
      <formula1>1</formula1>
      <formula2>ROWS(LU_FLU_RECC_PRICES_GROUP_E)</formula2>
    </dataValidation>
    <dataValidation type="whole" showDropDown="1" showErrorMessage="1" errorTitle="Drop Down Box Cell Link" error="The value in a drop down box cell link must be a whole number within the control's lookup range rows." sqref="D34:D43 D166:G175 D100:G109" xr:uid="{00000000-0002-0000-1F00-000002000000}">
      <formula1>1</formula1>
      <formula2>ROWS(LU_FLU_RECC_PRICES_GROUP_C)</formula2>
    </dataValidation>
    <dataValidation type="whole" showDropDown="1" showErrorMessage="1" errorTitle="Drop Down Box Cell Link" error="The value in a drop down box cell link must be a whole number within the control's lookup range rows." sqref="D48:D56 D180:G188 D114:G122" xr:uid="{00000000-0002-0000-1F00-000003000000}">
      <formula1>1</formula1>
      <formula2>ROWS(LU_FLU_RECC_PRICES_GROUP_D)</formula2>
    </dataValidation>
    <dataValidation type="whole" showDropDown="1" showErrorMessage="1" errorTitle="Drop Down Box Cell Link" error="The value in a drop down box cell link must be a whole number within the control's lookup range rows." sqref="I15:I29 I147:I161 I81:I95" xr:uid="{00000000-0002-0000-1F00-000004000000}">
      <formula1>1</formula1>
      <formula2>ROWS(LU_FLU_Personnel_Unit_Cost_Categories)</formula2>
    </dataValidation>
    <dataValidation type="whole" showDropDown="1" showErrorMessage="1" errorTitle="Drop Down Box Cell Link" error="The value in a drop down box cell link must be a whole number within the control's lookup range rows." sqref="D147:G161 D81:G95 D15:G29" xr:uid="{00000000-0002-0000-1F00-000005000000}">
      <formula1>1</formula1>
      <formula2>ROWS(LU_FLU_RECC_PRICES_GROUP_A)</formula2>
    </dataValidation>
    <dataValidation type="whole" showDropDown="1" showErrorMessage="1" errorTitle="Drop Down Box Cell Link" error="The value in a drop down box cell link must be a whole number within the control's lookup range rows." sqref="D212:G217" xr:uid="{00000000-0002-0000-1F00-000006000000}">
      <formula1>1</formula1>
      <formula2>ROWS(LU_FLU_CAP_PRICES_GROUP_A)</formula2>
    </dataValidation>
    <dataValidation type="custom" showErrorMessage="1" errorTitle="Invalid Assumption" error="Assumption must be a number." sqref="I212:I217 I239:I244 I226:I231" xr:uid="{00000000-0002-0000-1F00-000007000000}">
      <formula1>NOT(ISERROR(I212/1))</formula1>
    </dataValidation>
    <dataValidation type="whole" showDropDown="1" showErrorMessage="1" errorTitle="Drop Down Box Cell Link" error="The value in a drop down box cell link must be a whole number within the control's lookup range rows." sqref="D226:G231" xr:uid="{00000000-0002-0000-1F00-00000A000000}">
      <formula1>1</formula1>
      <formula2>ROWS(LU_FLU_CAP_PRICES_GROUP_B)</formula2>
    </dataValidation>
    <dataValidation type="whole" showDropDown="1" showErrorMessage="1" errorTitle="Drop Down Box Cell Link" error="The value in a drop down box cell link must be a whole number within the control's lookup range rows." sqref="D239:G244" xr:uid="{00000000-0002-0000-1F00-00000B000000}">
      <formula1>1</formula1>
      <formula2>ROWS(LU_FLU_CAP_PRICES_GROUP_D)</formula2>
    </dataValidation>
  </dataValidations>
  <hyperlinks>
    <hyperlink ref="A4" location="$B$5" tooltip="Go to Top of Sheet" display="$B$5" xr:uid="{00000000-0004-0000-1F00-000000000000}"/>
    <hyperlink ref="B4" location="HL_Sheet_Main_33" tooltip="Go to Previous Sheet" display="HL_Sheet_Main_33" xr:uid="{00000000-0004-0000-1F00-000001000000}"/>
    <hyperlink ref="C4" location="HL_Sheet_Main_7" tooltip="Go to Next Sheet" display="HL_Sheet_Main_7" xr:uid="{00000000-0004-0000-1F00-000002000000}"/>
    <hyperlink ref="B3" location="HL_Home" tooltip="Go to Table of Contents" display="HL_Home" xr:uid="{00000000-0004-0000-1F00-000003000000}"/>
    <hyperlink ref="D4" location="HL_Err_Chk" tooltip="Go to Error Checks" display="HL_Err_Chk" xr:uid="{00000000-0004-0000-1F00-000004000000}"/>
    <hyperlink ref="E4" location="HL_Sens_Chk" tooltip="Go to Sensitivity Checks" display="HL_Sens_Chk" xr:uid="{00000000-0004-0000-1F00-000005000000}"/>
    <hyperlink ref="F4" location="HL_Alt_Chk" tooltip="Go to Alert Checks" display="HL_Alt_Chk" xr:uid="{00000000-0004-0000-1F00-000006000000}"/>
  </hyperlinks>
  <pageMargins left="0.4" right="0.4" top="0.6" bottom="1" header="0" footer="0.3"/>
  <pageSetup orientation="landscape" horizontalDpi="4294967292" verticalDpi="0" r:id="rId1"/>
  <headerFooter>
    <oddFooter>&amp;L&amp;F
&amp;A
Printed: &amp;T on &amp;D&amp;C&amp;",Bold"Sheet 3.1.i.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1" r:id="rId4" name="bpmDropDownFLU736">
              <controlPr defaultSize="0" autoFill="0" autoPict="0">
                <anchor moveWithCells="1">
                  <from>
                    <xdr:col>3</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471052" r:id="rId5" name="bpmDropDownFLU737">
              <controlPr defaultSize="0" autoFill="0" autoPict="0">
                <anchor moveWithCells="1">
                  <from>
                    <xdr:col>3</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471053" r:id="rId6" name="bpmDropDownFLU738">
              <controlPr defaultSize="0" autoFill="0" autoPict="0">
                <anchor moveWithCells="1">
                  <from>
                    <xdr:col>3</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471054" r:id="rId7" name="bpmDropDownFLU739">
              <controlPr defaultSize="0" autoFill="0" autoPict="0">
                <anchor moveWithCells="1">
                  <from>
                    <xdr:col>3</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471055" r:id="rId8" name="bpmDropDownFLU740">
              <controlPr defaultSize="0" autoFill="0" autoPict="0">
                <anchor moveWithCells="1">
                  <from>
                    <xdr:col>3</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471056" r:id="rId9" name="bpmDropDownFLU741">
              <controlPr defaultSize="0" autoFill="0" autoPict="0">
                <anchor moveWithCells="1">
                  <from>
                    <xdr:col>3</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471057" r:id="rId10" name="bpmDropDownFLU742">
              <controlPr defaultSize="0" autoFill="0" autoPict="0">
                <anchor moveWithCells="1">
                  <from>
                    <xdr:col>3</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471058" r:id="rId11" name="bpmDropDownFLU743">
              <controlPr defaultSize="0" autoFill="0" autoPict="0">
                <anchor moveWithCells="1">
                  <from>
                    <xdr:col>3</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471059" r:id="rId12" name="bpmDropDownFLU744">
              <controlPr defaultSize="0" autoFill="0" autoPict="0">
                <anchor moveWithCells="1">
                  <from>
                    <xdr:col>3</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471060" r:id="rId13" name="bpmDropDownFLU745">
              <controlPr defaultSize="0" autoFill="0" autoPict="0">
                <anchor moveWithCells="1">
                  <from>
                    <xdr:col>3</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471061" r:id="rId14" name="bpmDropDownFLU746">
              <controlPr defaultSize="0" autoFill="0" autoPict="0">
                <anchor moveWithCells="1">
                  <from>
                    <xdr:col>3</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471062" r:id="rId15" name="bpmDropDownFLU747">
              <controlPr defaultSize="0" autoFill="0" autoPict="0">
                <anchor moveWithCells="1">
                  <from>
                    <xdr:col>3</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471063" r:id="rId16" name="bpmDropDownFLU748">
              <controlPr defaultSize="0" autoFill="0" autoPict="0">
                <anchor moveWithCells="1">
                  <from>
                    <xdr:col>3</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471064" r:id="rId17" name="bpmDropDownFLU749">
              <controlPr defaultSize="0" autoFill="0" autoPict="0">
                <anchor moveWithCells="1">
                  <from>
                    <xdr:col>3</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471065" r:id="rId18" name="bpmDropDownFLU750">
              <controlPr defaultSize="0" autoFill="0" autoPict="0">
                <anchor moveWithCells="1">
                  <from>
                    <xdr:col>3</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471066" r:id="rId19" name="bpmDropDownFLU751">
              <controlPr defaultSize="0" autoFill="0" autoPict="0">
                <anchor moveWithCells="1">
                  <from>
                    <xdr:col>3</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471067" r:id="rId20" name="bpmDropDownFLU752">
              <controlPr defaultSize="0" autoFill="0" autoPict="0">
                <anchor moveWithCells="1">
                  <from>
                    <xdr:col>3</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471068" r:id="rId21" name="bpmDropDownFLU753">
              <controlPr defaultSize="0" autoFill="0" autoPict="0">
                <anchor moveWithCells="1">
                  <from>
                    <xdr:col>3</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471069" r:id="rId22" name="bpmDropDownFLU754">
              <controlPr defaultSize="0" autoFill="0" autoPict="0">
                <anchor moveWithCells="1">
                  <from>
                    <xdr:col>3</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471070" r:id="rId23" name="bpmDropDownFLU755">
              <controlPr defaultSize="0" autoFill="0" autoPict="0">
                <anchor moveWithCells="1">
                  <from>
                    <xdr:col>3</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471071" r:id="rId24" name="bpmDropDownFLU756">
              <controlPr defaultSize="0" autoFill="0" autoPict="0">
                <anchor moveWithCells="1">
                  <from>
                    <xdr:col>3</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471072" r:id="rId25" name="bpmDropDownFLU757">
              <controlPr defaultSize="0" autoFill="0" autoPict="0">
                <anchor moveWithCells="1">
                  <from>
                    <xdr:col>3</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471073" r:id="rId26" name="bpmDropDownFLU758">
              <controlPr defaultSize="0" autoFill="0" autoPict="0">
                <anchor moveWithCells="1">
                  <from>
                    <xdr:col>3</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471084" r:id="rId27" name="bpmDropDownFLU1188">
              <controlPr defaultSize="0" autoFill="0" autoPict="0">
                <anchor moveWithCells="1">
                  <from>
                    <xdr:col>3</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471085" r:id="rId28" name="bpmDropDownFLU1189">
              <controlPr defaultSize="0" autoFill="0" autoPict="0">
                <anchor moveWithCells="1">
                  <from>
                    <xdr:col>3</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471086" r:id="rId29" name="bpmDropDownFLU1190">
              <controlPr defaultSize="0" autoFill="0" autoPict="0">
                <anchor moveWithCells="1">
                  <from>
                    <xdr:col>3</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471087" r:id="rId30" name="bpmDropDownFLU1191">
              <controlPr defaultSize="0" autoFill="0" autoPict="0">
                <anchor moveWithCells="1">
                  <from>
                    <xdr:col>3</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471088" r:id="rId31" name="bpmDropDownFLU1192">
              <controlPr defaultSize="0" autoFill="0" autoPict="0">
                <anchor moveWithCells="1">
                  <from>
                    <xdr:col>3</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471090" r:id="rId32" name="bpmDropDownFLU544">
              <controlPr defaultSize="0" autoFill="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471091" r:id="rId33" name="bpmDropDownFLU552">
              <controlPr defaultSize="0" autoFill="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471092" r:id="rId34" name="bpmDropDownFLU553">
              <controlPr defaultSize="0" autoFill="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471093" r:id="rId35" name="bpmDropDownFLU554">
              <controlPr defaultSize="0" autoFill="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71094" r:id="rId36" name="bpmDropDownFLU555">
              <controlPr defaultSize="0" autoFill="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471095" r:id="rId37" name="bpmDropDownFLU556">
              <controlPr defaultSize="0" autoFill="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471096" r:id="rId38" name="bpmDropDownFLU557">
              <controlPr defaultSize="0" autoFill="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471097" r:id="rId39" name="bpmDropDownFLU558">
              <controlPr defaultSize="0" autoFill="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471099" r:id="rId40" name="bpmDropDownFLU560">
              <controlPr defaultSize="0" autoFill="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471100" r:id="rId41" name="bpmDropDownFLU561">
              <controlPr defaultSize="0" autoFill="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471101" r:id="rId42" name="bpmDropDownFLU562">
              <controlPr defaultSize="0" autoFill="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71102" r:id="rId43" name="bpmDropDownFLU563">
              <controlPr defaultSize="0" autoFill="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71103" r:id="rId44" name="bpmDropDownFLU564">
              <controlPr defaultSize="0" autoFill="0" autoPict="0">
                <anchor moveWithCells="1">
                  <from>
                    <xdr:col>8</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471104" r:id="rId45" name="bpmDropDownFLU565">
              <controlPr defaultSize="0" autoFill="0" autoPict="0">
                <anchor moveWithCells="1">
                  <from>
                    <xdr:col>8</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471105" r:id="rId46" name="bpmDropDownFLU566">
              <controlPr defaultSize="0" autoFill="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71106" r:id="rId47" name="bpmDropDownFLU567">
              <controlPr defaultSize="0" autoFill="0" autoPict="0">
                <anchor moveWithCells="1">
                  <from>
                    <xdr:col>3</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471107" r:id="rId48" name="bpmDropDownFLU568">
              <controlPr defaultSize="0" autoFill="0" autoPict="0">
                <anchor moveWithCells="1">
                  <from>
                    <xdr:col>3</xdr:col>
                    <xdr:colOff>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471108" r:id="rId49" name="bpmDropDownFLU569">
              <controlPr defaultSize="0" autoFill="0" autoPict="0">
                <anchor moveWithCells="1">
                  <from>
                    <xdr:col>3</xdr:col>
                    <xdr:colOff>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471109" r:id="rId50" name="bpmDropDownFLU570">
              <controlPr defaultSize="0" autoFill="0" autoPict="0">
                <anchor moveWithCells="1">
                  <from>
                    <xdr:col>3</xdr:col>
                    <xdr:colOff>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471110" r:id="rId51" name="bpmDropDownFLU606">
              <controlPr defaultSize="0" autoFill="0" autoPict="0">
                <anchor moveWithCells="1">
                  <from>
                    <xdr:col>3</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471111" r:id="rId52" name="bpmDropDownFLU607">
              <controlPr defaultSize="0" autoFill="0" autoPict="0">
                <anchor moveWithCells="1">
                  <from>
                    <xdr:col>3</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471112" r:id="rId53" name="bpmDropDownFLU608">
              <controlPr defaultSize="0" autoFill="0" autoPict="0">
                <anchor moveWithCells="1">
                  <from>
                    <xdr:col>3</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471113" r:id="rId54" name="bpmDropDownFLU609">
              <controlPr defaultSize="0" autoFill="0" autoPict="0">
                <anchor moveWithCells="1">
                  <from>
                    <xdr:col>3</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471115" r:id="rId55" name="bpmDropDownFLU611">
              <controlPr defaultSize="0" autoFill="0" autoPict="0">
                <anchor moveWithCells="1">
                  <from>
                    <xdr:col>3</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471116" r:id="rId56" name="bpmDropDownFLU612">
              <controlPr defaultSize="0" autoFill="0" autoPict="0">
                <anchor moveWithCells="1">
                  <from>
                    <xdr:col>3</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471117" r:id="rId57" name="bpmDropDownFLU613">
              <controlPr defaultSize="0" autoFill="0" autoPict="0">
                <anchor moveWithCells="1">
                  <from>
                    <xdr:col>3</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471118" r:id="rId58" name="bpmDropDownFLU618">
              <controlPr defaultSize="0" autoFill="0" autoPict="0">
                <anchor moveWithCells="1">
                  <from>
                    <xdr:col>3</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471119" r:id="rId59" name="bpmDropDownFLU619">
              <controlPr defaultSize="0" autoFill="0" autoPict="0">
                <anchor moveWithCells="1">
                  <from>
                    <xdr:col>3</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471120" r:id="rId60" name="bpmDropDownFLU620">
              <controlPr defaultSize="0" autoFill="0" autoPict="0">
                <anchor moveWithCells="1">
                  <from>
                    <xdr:col>3</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471121" r:id="rId61" name="bpmDropDownFLU621">
              <controlPr defaultSize="0" autoFill="0" autoPict="0">
                <anchor moveWithCells="1">
                  <from>
                    <xdr:col>3</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471122" r:id="rId62" name="bpmDropDownFLU730">
              <controlPr defaultSize="0" autoFill="0" autoPict="0">
                <anchor moveWithCells="1">
                  <from>
                    <xdr:col>3</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471123" r:id="rId63" name="bpmDropDownFLU731">
              <controlPr defaultSize="0" autoFill="0" autoPict="0">
                <anchor moveWithCells="1">
                  <from>
                    <xdr:col>3</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471124" r:id="rId64" name="bpmDropDownFLU732">
              <controlPr defaultSize="0" autoFill="0" autoPict="0">
                <anchor moveWithCells="1">
                  <from>
                    <xdr:col>3</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471125" r:id="rId65" name="bpmDropDownFLU733">
              <controlPr defaultSize="0" autoFill="0" autoPict="0">
                <anchor moveWithCells="1">
                  <from>
                    <xdr:col>3</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471126" r:id="rId66" name="bpmDropDownFLU734">
              <controlPr defaultSize="0" autoFill="0" autoPict="0">
                <anchor moveWithCells="1">
                  <from>
                    <xdr:col>3</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471127" r:id="rId67" name="bpmDropDownFLU735">
              <controlPr defaultSize="0" autoFill="0" autoPict="0">
                <anchor moveWithCells="1">
                  <from>
                    <xdr:col>3</xdr:col>
                    <xdr:colOff>0</xdr:colOff>
                    <xdr:row>85</xdr:row>
                    <xdr:rowOff>0</xdr:rowOff>
                  </from>
                  <to>
                    <xdr:col>7</xdr:col>
                    <xdr:colOff>0</xdr:colOff>
                    <xdr:row>86</xdr:row>
                    <xdr:rowOff>0</xdr:rowOff>
                  </to>
                </anchor>
              </controlPr>
            </control>
          </mc:Choice>
        </mc:AlternateContent>
        <mc:AlternateContent xmlns:mc="http://schemas.openxmlformats.org/markup-compatibility/2006">
          <mc:Choice Requires="x14">
            <control shapeId="471128" r:id="rId68" name="bpmDropDownFLU760">
              <controlPr defaultSize="0" autoFill="0" autoPict="0">
                <anchor moveWithCells="1">
                  <from>
                    <xdr:col>3</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471129" r:id="rId69" name="bpmDropDownFLU761">
              <controlPr defaultSize="0" autoFill="0" autoPict="0">
                <anchor moveWithCells="1">
                  <from>
                    <xdr:col>3</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471131" r:id="rId70" name="bpmDropDownFLU763">
              <controlPr defaultSize="0" autoFill="0" autoPict="0">
                <anchor moveWithCells="1">
                  <from>
                    <xdr:col>3</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471132" r:id="rId71" name="bpmDropDownFLU764">
              <controlPr defaultSize="0" autoFill="0" autoPict="0">
                <anchor moveWithCells="1">
                  <from>
                    <xdr:col>3</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471133" r:id="rId72" name="bpmDropDownFLU765">
              <controlPr defaultSize="0" autoFill="0" autoPict="0">
                <anchor moveWithCells="1">
                  <from>
                    <xdr:col>3</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471134" r:id="rId73" name="bpmDropDownFLU766">
              <controlPr defaultSize="0" autoFill="0" autoPict="0">
                <anchor moveWithCells="1">
                  <from>
                    <xdr:col>3</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471135" r:id="rId74" name="bpmDropDownFLU767">
              <controlPr defaultSize="0" autoFill="0" autoPict="0">
                <anchor moveWithCells="1">
                  <from>
                    <xdr:col>3</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471136" r:id="rId75" name="bpmDropDownFLU768">
              <controlPr defaultSize="0" autoFill="0" autoPict="0">
                <anchor moveWithCells="1">
                  <from>
                    <xdr:col>3</xdr:col>
                    <xdr:colOff>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471137" r:id="rId76" name="bpmDropDownFLU769">
              <controlPr defaultSize="0" autoFill="0" autoPict="0">
                <anchor moveWithCells="1">
                  <from>
                    <xdr:col>3</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471138" r:id="rId77" name="bpmDropDownFLU770">
              <controlPr defaultSize="0" autoFill="0" autoPict="0">
                <anchor moveWithCells="1">
                  <from>
                    <xdr:col>3</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471139" r:id="rId78" name="bpmDropDownFLU771">
              <controlPr defaultSize="0" autoFill="0" autoPict="0">
                <anchor moveWithCells="1">
                  <from>
                    <xdr:col>3</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471140" r:id="rId79" name="bpmDropDownFLU772">
              <controlPr defaultSize="0" autoFill="0" autoPict="0">
                <anchor moveWithCells="1">
                  <from>
                    <xdr:col>3</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471141" r:id="rId80" name="bpmDropDownFLU773">
              <controlPr defaultSize="0" autoFill="0" autoPict="0">
                <anchor moveWithCells="1">
                  <from>
                    <xdr:col>3</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471142" r:id="rId81" name="bpmDropDownFLU774">
              <controlPr defaultSize="0" autoFill="0" autoPict="0">
                <anchor moveWithCells="1">
                  <from>
                    <xdr:col>3</xdr:col>
                    <xdr:colOff>0</xdr:colOff>
                    <xdr:row>103</xdr:row>
                    <xdr:rowOff>0</xdr:rowOff>
                  </from>
                  <to>
                    <xdr:col>7</xdr:col>
                    <xdr:colOff>0</xdr:colOff>
                    <xdr:row>104</xdr:row>
                    <xdr:rowOff>0</xdr:rowOff>
                  </to>
                </anchor>
              </controlPr>
            </control>
          </mc:Choice>
        </mc:AlternateContent>
        <mc:AlternateContent xmlns:mc="http://schemas.openxmlformats.org/markup-compatibility/2006">
          <mc:Choice Requires="x14">
            <control shapeId="471143" r:id="rId82" name="bpmDropDownFLU775">
              <controlPr defaultSize="0" autoFill="0" autoPict="0">
                <anchor moveWithCells="1">
                  <from>
                    <xdr:col>3</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471144" r:id="rId83" name="bpmDropDownFLU776">
              <controlPr defaultSize="0" autoFill="0" autoPict="0">
                <anchor moveWithCells="1">
                  <from>
                    <xdr:col>3</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471145" r:id="rId84" name="bpmDropDownFLU777">
              <controlPr defaultSize="0" autoFill="0" autoPict="0">
                <anchor moveWithCells="1">
                  <from>
                    <xdr:col>3</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471146" r:id="rId85" name="bpmDropDownFLU778">
              <controlPr defaultSize="0" autoFill="0" autoPict="0">
                <anchor moveWithCells="1">
                  <from>
                    <xdr:col>3</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471147" r:id="rId86" name="bpmDropDownFLU779">
              <controlPr defaultSize="0" autoFill="0" autoPict="0">
                <anchor moveWithCells="1">
                  <from>
                    <xdr:col>3</xdr:col>
                    <xdr:colOff>0</xdr:colOff>
                    <xdr:row>108</xdr:row>
                    <xdr:rowOff>0</xdr:rowOff>
                  </from>
                  <to>
                    <xdr:col>7</xdr:col>
                    <xdr:colOff>0</xdr:colOff>
                    <xdr:row>109</xdr:row>
                    <xdr:rowOff>0</xdr:rowOff>
                  </to>
                </anchor>
              </controlPr>
            </control>
          </mc:Choice>
        </mc:AlternateContent>
        <mc:AlternateContent xmlns:mc="http://schemas.openxmlformats.org/markup-compatibility/2006">
          <mc:Choice Requires="x14">
            <control shapeId="471148" r:id="rId87" name="bpmDropDownFLU780">
              <controlPr defaultSize="0" autoFill="0" autoPict="0">
                <anchor moveWithCells="1">
                  <from>
                    <xdr:col>3</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471149" r:id="rId88" name="bpmDropDownFLU781">
              <controlPr defaultSize="0" autoFill="0" autoPict="0">
                <anchor moveWithCells="1">
                  <from>
                    <xdr:col>3</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471150" r:id="rId89" name="bpmDropDownFLU799">
              <controlPr defaultSize="0" autoFill="0" autoPict="0">
                <anchor moveWithCells="1">
                  <from>
                    <xdr:col>3</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471151" r:id="rId90" name="bpmDropDownFLU800">
              <controlPr defaultSize="0" autoFill="0" autoPict="0">
                <anchor moveWithCells="1">
                  <from>
                    <xdr:col>3</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471152" r:id="rId91" name="bpmDropDownFLU820">
              <controlPr defaultSize="0" autoFill="0" autoPict="0">
                <anchor moveWithCells="1">
                  <from>
                    <xdr:col>3</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471153" r:id="rId92" name="bpmDropDownFLU821">
              <controlPr defaultSize="0" autoFill="0" autoPict="0">
                <anchor moveWithCells="1">
                  <from>
                    <xdr:col>3</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471154" r:id="rId93" name="bpmDropDownFLU822">
              <controlPr defaultSize="0" autoFill="0" autoPict="0">
                <anchor moveWithCells="1">
                  <from>
                    <xdr:col>3</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471155" r:id="rId94" name="bpmDropDownFLU823">
              <controlPr defaultSize="0" autoFill="0" autoPict="0">
                <anchor moveWithCells="1">
                  <from>
                    <xdr:col>3</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471156" r:id="rId95" name="bpmDropDownFLU824">
              <controlPr defaultSize="0" autoFill="0" autoPict="0">
                <anchor moveWithCells="1">
                  <from>
                    <xdr:col>3</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471157" r:id="rId96" name="bpmDropDownFLU825">
              <controlPr defaultSize="0" autoFill="0" autoPict="0">
                <anchor moveWithCells="1">
                  <from>
                    <xdr:col>3</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471158" r:id="rId97" name="bpmDropDownFLU826">
              <controlPr defaultSize="0" autoFill="0" autoPict="0">
                <anchor moveWithCells="1">
                  <from>
                    <xdr:col>3</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471159" r:id="rId98" name="bpmDropDownFLU827">
              <controlPr defaultSize="0" autoFill="0" autoPict="0">
                <anchor moveWithCells="1">
                  <from>
                    <xdr:col>3</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471160" r:id="rId99" name="bpmDropDownFLU828">
              <controlPr defaultSize="0" autoFill="0" autoPict="0">
                <anchor moveWithCells="1">
                  <from>
                    <xdr:col>3</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471161" r:id="rId100" name="bpmDropDownFLU829">
              <controlPr defaultSize="0" autoFill="0" autoPict="0">
                <anchor moveWithCells="1">
                  <from>
                    <xdr:col>3</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471162" r:id="rId101" name="bpmDropDownFLU830">
              <controlPr defaultSize="0" autoFill="0" autoPict="0">
                <anchor moveWithCells="1">
                  <from>
                    <xdr:col>3</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471163" r:id="rId102" name="bpmDropDownFLU831">
              <controlPr defaultSize="0" autoFill="0" autoPict="0">
                <anchor moveWithCells="1">
                  <from>
                    <xdr:col>3</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471164" r:id="rId103" name="bpmDropDownFLU832">
              <controlPr defaultSize="0" autoFill="0" autoPict="0">
                <anchor moveWithCells="1">
                  <from>
                    <xdr:col>3</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471165" r:id="rId104" name="bpmDropDownFLU833">
              <controlPr defaultSize="0" autoFill="0" autoPict="0">
                <anchor moveWithCells="1">
                  <from>
                    <xdr:col>3</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471166" r:id="rId105" name="bpmDropDownFLU834">
              <controlPr defaultSize="0" autoFill="0" autoPict="0">
                <anchor moveWithCells="1">
                  <from>
                    <xdr:col>3</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471167" r:id="rId106" name="bpmDropDownFLU835">
              <controlPr defaultSize="0" autoFill="0" autoPict="0">
                <anchor moveWithCells="1">
                  <from>
                    <xdr:col>3</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471168" r:id="rId107" name="bpmDropDownFLU836">
              <controlPr defaultSize="0" autoFill="0" autoPict="0">
                <anchor moveWithCells="1">
                  <from>
                    <xdr:col>3</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471169" r:id="rId108" name="bpmDropDownFLU837">
              <controlPr defaultSize="0" autoFill="0" autoPict="0">
                <anchor moveWithCells="1">
                  <from>
                    <xdr:col>3</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471170" r:id="rId109" name="bpmDropDownFLU838">
              <controlPr defaultSize="0" autoFill="0" autoPict="0">
                <anchor moveWithCells="1">
                  <from>
                    <xdr:col>3</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471171" r:id="rId110" name="bpmDropDownFLU839">
              <controlPr defaultSize="0" autoFill="0" autoPict="0">
                <anchor moveWithCells="1">
                  <from>
                    <xdr:col>3</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471172" r:id="rId111" name="bpmDropDownFLU840">
              <controlPr defaultSize="0" autoFill="0" autoPict="0">
                <anchor moveWithCells="1">
                  <from>
                    <xdr:col>3</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471173" r:id="rId112" name="bpmDropDownFLU841">
              <controlPr defaultSize="0" autoFill="0" autoPict="0">
                <anchor moveWithCells="1">
                  <from>
                    <xdr:col>3</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471175" r:id="rId113" name="bpmDropDownFLU843">
              <controlPr defaultSize="0" autoFill="0" autoPict="0">
                <anchor moveWithCells="1">
                  <from>
                    <xdr:col>3</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471176" r:id="rId114" name="bpmDropDownFLU844">
              <controlPr defaultSize="0" autoFill="0" autoPict="0">
                <anchor moveWithCells="1">
                  <from>
                    <xdr:col>3</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471177" r:id="rId115" name="bpmDropDownFLU847">
              <controlPr defaultSize="0" autoFill="0" autoPict="0">
                <anchor moveWithCells="1">
                  <from>
                    <xdr:col>3</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471178" r:id="rId116" name="bpmDropDownFLU848">
              <controlPr defaultSize="0" autoFill="0" autoPict="0">
                <anchor moveWithCells="1">
                  <from>
                    <xdr:col>3</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471179" r:id="rId117" name="bpmDropDownFLU849">
              <controlPr defaultSize="0" autoFill="0" autoPict="0">
                <anchor moveWithCells="1">
                  <from>
                    <xdr:col>3</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471180" r:id="rId118" name="bpmDropDownFLU850">
              <controlPr defaultSize="0" autoFill="0" autoPict="0">
                <anchor moveWithCells="1">
                  <from>
                    <xdr:col>3</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471181" r:id="rId119" name="bpmDropDownFLU851">
              <controlPr defaultSize="0" autoFill="0" autoPict="0">
                <anchor moveWithCells="1">
                  <from>
                    <xdr:col>3</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471182" r:id="rId120" name="bpmDropDownFLU852">
              <controlPr defaultSize="0" autoFill="0" autoPict="0">
                <anchor moveWithCells="1">
                  <from>
                    <xdr:col>3</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471183" r:id="rId121" name="bpmDropDownFLU853">
              <controlPr defaultSize="0" autoFill="0" autoPict="0">
                <anchor moveWithCells="1">
                  <from>
                    <xdr:col>3</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471184" r:id="rId122" name="bpmDropDownFLU854">
              <controlPr defaultSize="0" autoFill="0" autoPict="0">
                <anchor moveWithCells="1">
                  <from>
                    <xdr:col>3</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471185" r:id="rId123" name="bpmDropDownFLU883">
              <controlPr defaultSize="0" autoFill="0" autoPict="0">
                <anchor moveWithCells="1">
                  <from>
                    <xdr:col>3</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471186" r:id="rId124" name="bpmDropDownFLU884">
              <controlPr defaultSize="0" autoFill="0" autoPict="0">
                <anchor moveWithCells="1">
                  <from>
                    <xdr:col>3</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471187" r:id="rId125" name="bpmDropDownFLU885">
              <controlPr defaultSize="0" autoFill="0" autoPict="0">
                <anchor moveWithCells="1">
                  <from>
                    <xdr:col>3</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471188" r:id="rId126" name="bpmDropDownFLU886">
              <controlPr defaultSize="0" autoFill="0" autoPict="0">
                <anchor moveWithCells="1">
                  <from>
                    <xdr:col>3</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471189" r:id="rId127" name="bpmDropDownFLU887">
              <controlPr defaultSize="0" autoFill="0" autoPict="0">
                <anchor moveWithCells="1">
                  <from>
                    <xdr:col>3</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471190" r:id="rId128" name="bpmDropDownFLU888">
              <controlPr defaultSize="0" autoFill="0" autoPict="0">
                <anchor moveWithCells="1">
                  <from>
                    <xdr:col>3</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471191" r:id="rId129" name="bpmDropDownFLU889">
              <controlPr defaultSize="0" autoFill="0" autoPict="0">
                <anchor moveWithCells="1">
                  <from>
                    <xdr:col>3</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471192" r:id="rId130" name="bpmDropDownFLU890">
              <controlPr defaultSize="0" autoFill="0" autoPict="0">
                <anchor moveWithCells="1">
                  <from>
                    <xdr:col>3</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471193" r:id="rId131" name="bpmDropDownFLU891">
              <controlPr defaultSize="0" autoFill="0" autoPict="0">
                <anchor moveWithCells="1">
                  <from>
                    <xdr:col>3</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471194" r:id="rId132" name="bpmDropDownFLU892">
              <controlPr defaultSize="0" autoFill="0" autoPict="0">
                <anchor moveWithCells="1">
                  <from>
                    <xdr:col>3</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471195" r:id="rId133" name="bpmDropDownFLU893">
              <controlPr defaultSize="0" autoFill="0" autoPict="0">
                <anchor moveWithCells="1">
                  <from>
                    <xdr:col>3</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471196" r:id="rId134" name="bpmDropDownFLU894">
              <controlPr defaultSize="0" autoFill="0" autoPict="0">
                <anchor moveWithCells="1">
                  <from>
                    <xdr:col>3</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471197" r:id="rId135" name="bpmDropDownFLU895">
              <controlPr defaultSize="0" autoFill="0" autoPict="0">
                <anchor moveWithCells="1">
                  <from>
                    <xdr:col>3</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471198" r:id="rId136" name="bpmDropDownFLU896">
              <controlPr defaultSize="0" autoFill="0" autoPict="0">
                <anchor moveWithCells="1">
                  <from>
                    <xdr:col>3</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471199" r:id="rId137" name="bpmDropDownFLU897">
              <controlPr defaultSize="0" autoFill="0" autoPict="0">
                <anchor moveWithCells="1">
                  <from>
                    <xdr:col>3</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471200" r:id="rId138" name="bpmDropDownFLU898">
              <controlPr defaultSize="0" autoFill="0" autoPict="0">
                <anchor moveWithCells="1">
                  <from>
                    <xdr:col>3</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471201" r:id="rId139" name="bpmDropDownFLU899">
              <controlPr defaultSize="0" autoFill="0" autoPict="0">
                <anchor moveWithCells="1">
                  <from>
                    <xdr:col>3</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471202" r:id="rId140" name="bpmDropDownFLU900">
              <controlPr defaultSize="0" autoFill="0" autoPict="0">
                <anchor moveWithCells="1">
                  <from>
                    <xdr:col>3</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471203" r:id="rId141" name="bpmDropDownFLU901">
              <controlPr defaultSize="0" autoFill="0" autoPict="0">
                <anchor moveWithCells="1">
                  <from>
                    <xdr:col>3</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471204" r:id="rId142" name="bpmDropDownFLU902">
              <controlPr defaultSize="0" autoFill="0" autoPict="0">
                <anchor moveWithCells="1">
                  <from>
                    <xdr:col>3</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471205" r:id="rId143" name="bpmDropDownFLU903">
              <controlPr defaultSize="0" autoFill="0" autoPict="0">
                <anchor moveWithCells="1">
                  <from>
                    <xdr:col>3</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471206" r:id="rId144" name="bpmDropDownFLU904">
              <controlPr defaultSize="0" autoFill="0" autoPict="0">
                <anchor moveWithCells="1">
                  <from>
                    <xdr:col>3</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471207" r:id="rId145" name="bpmDropDownFLU905">
              <controlPr defaultSize="0" autoFill="0" autoPict="0">
                <anchor moveWithCells="1">
                  <from>
                    <xdr:col>3</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471208" r:id="rId146" name="bpmDropDownFLU906">
              <controlPr defaultSize="0" autoFill="0" autoPict="0">
                <anchor moveWithCells="1">
                  <from>
                    <xdr:col>3</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471209" r:id="rId147" name="bpmDropDownFLU907">
              <controlPr defaultSize="0" autoFill="0" autoPict="0">
                <anchor moveWithCells="1">
                  <from>
                    <xdr:col>3</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471210" r:id="rId148" name="bpmDropDownFLU151">
              <controlPr defaultSize="0" autoFill="0" autoPict="0">
                <anchor moveWithCells="1">
                  <from>
                    <xdr:col>3</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471211" r:id="rId149" name="bpmDropDownFLU203">
              <controlPr defaultSize="0" autoFill="0" autoPict="0">
                <anchor moveWithCells="1">
                  <from>
                    <xdr:col>3</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471212" r:id="rId150" name="bpmDropDownFLU233">
              <controlPr defaultSize="0" autoFill="0" autoPict="0">
                <anchor moveWithCells="1">
                  <from>
                    <xdr:col>3</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471213" r:id="rId151" name="bpmDropDownFLU263">
              <controlPr defaultSize="0" autoFill="0" autoPict="0">
                <anchor moveWithCells="1">
                  <from>
                    <xdr:col>3</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471214" r:id="rId152" name="bpmDropDownFLU275">
              <controlPr defaultSize="0" autoFill="0" autoPict="0">
                <anchor moveWithCells="1">
                  <from>
                    <xdr:col>3</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471215" r:id="rId153" name="bpmDropDownFLU276">
              <controlPr defaultSize="0" autoFill="0" autoPict="0">
                <anchor moveWithCells="1">
                  <from>
                    <xdr:col>3</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471216" r:id="rId154" name="bpmDropDownFLU277">
              <controlPr defaultSize="0" autoFill="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471217" r:id="rId155" name="bpmDropDownFLU278">
              <controlPr defaultSize="0" autoFill="0" autoPict="0">
                <anchor moveWithCells="1">
                  <from>
                    <xdr:col>8</xdr:col>
                    <xdr:colOff>0</xdr:colOff>
                    <xdr:row>81</xdr:row>
                    <xdr:rowOff>0</xdr:rowOff>
                  </from>
                  <to>
                    <xdr:col>9</xdr:col>
                    <xdr:colOff>0</xdr:colOff>
                    <xdr:row>82</xdr:row>
                    <xdr:rowOff>0</xdr:rowOff>
                  </to>
                </anchor>
              </controlPr>
            </control>
          </mc:Choice>
        </mc:AlternateContent>
        <mc:AlternateContent xmlns:mc="http://schemas.openxmlformats.org/markup-compatibility/2006">
          <mc:Choice Requires="x14">
            <control shapeId="471218" r:id="rId156" name="bpmDropDownFLU279">
              <controlPr defaultSize="0" autoFill="0" autoPict="0">
                <anchor moveWithCells="1">
                  <from>
                    <xdr:col>8</xdr:col>
                    <xdr:colOff>0</xdr:colOff>
                    <xdr:row>82</xdr:row>
                    <xdr:rowOff>0</xdr:rowOff>
                  </from>
                  <to>
                    <xdr:col>9</xdr:col>
                    <xdr:colOff>0</xdr:colOff>
                    <xdr:row>83</xdr:row>
                    <xdr:rowOff>0</xdr:rowOff>
                  </to>
                </anchor>
              </controlPr>
            </control>
          </mc:Choice>
        </mc:AlternateContent>
        <mc:AlternateContent xmlns:mc="http://schemas.openxmlformats.org/markup-compatibility/2006">
          <mc:Choice Requires="x14">
            <control shapeId="471219" r:id="rId157" name="bpmDropDownFLU280">
              <controlPr defaultSize="0" autoFill="0" autoPict="0">
                <anchor moveWithCells="1">
                  <from>
                    <xdr:col>8</xdr:col>
                    <xdr:colOff>0</xdr:colOff>
                    <xdr:row>83</xdr:row>
                    <xdr:rowOff>0</xdr:rowOff>
                  </from>
                  <to>
                    <xdr:col>9</xdr:col>
                    <xdr:colOff>0</xdr:colOff>
                    <xdr:row>84</xdr:row>
                    <xdr:rowOff>0</xdr:rowOff>
                  </to>
                </anchor>
              </controlPr>
            </control>
          </mc:Choice>
        </mc:AlternateContent>
        <mc:AlternateContent xmlns:mc="http://schemas.openxmlformats.org/markup-compatibility/2006">
          <mc:Choice Requires="x14">
            <control shapeId="471220" r:id="rId158" name="bpmDropDownFLU281">
              <controlPr defaultSize="0" autoFill="0" autoPict="0">
                <anchor moveWithCells="1">
                  <from>
                    <xdr:col>8</xdr:col>
                    <xdr:colOff>0</xdr:colOff>
                    <xdr:row>84</xdr:row>
                    <xdr:rowOff>0</xdr:rowOff>
                  </from>
                  <to>
                    <xdr:col>9</xdr:col>
                    <xdr:colOff>0</xdr:colOff>
                    <xdr:row>85</xdr:row>
                    <xdr:rowOff>0</xdr:rowOff>
                  </to>
                </anchor>
              </controlPr>
            </control>
          </mc:Choice>
        </mc:AlternateContent>
        <mc:AlternateContent xmlns:mc="http://schemas.openxmlformats.org/markup-compatibility/2006">
          <mc:Choice Requires="x14">
            <control shapeId="471221" r:id="rId159" name="bpmDropDownFLU282">
              <controlPr defaultSize="0" autoFill="0" autoPict="0">
                <anchor moveWithCells="1">
                  <from>
                    <xdr:col>8</xdr:col>
                    <xdr:colOff>0</xdr:colOff>
                    <xdr:row>85</xdr:row>
                    <xdr:rowOff>0</xdr:rowOff>
                  </from>
                  <to>
                    <xdr:col>9</xdr:col>
                    <xdr:colOff>0</xdr:colOff>
                    <xdr:row>86</xdr:row>
                    <xdr:rowOff>0</xdr:rowOff>
                  </to>
                </anchor>
              </controlPr>
            </control>
          </mc:Choice>
        </mc:AlternateContent>
        <mc:AlternateContent xmlns:mc="http://schemas.openxmlformats.org/markup-compatibility/2006">
          <mc:Choice Requires="x14">
            <control shapeId="471222" r:id="rId160" name="bpmDropDownFLU296">
              <controlPr defaultSize="0" autoFill="0" autoPict="0">
                <anchor moveWithCells="1">
                  <from>
                    <xdr:col>8</xdr:col>
                    <xdr:colOff>0</xdr:colOff>
                    <xdr:row>86</xdr:row>
                    <xdr:rowOff>0</xdr:rowOff>
                  </from>
                  <to>
                    <xdr:col>9</xdr:col>
                    <xdr:colOff>0</xdr:colOff>
                    <xdr:row>87</xdr:row>
                    <xdr:rowOff>0</xdr:rowOff>
                  </to>
                </anchor>
              </controlPr>
            </control>
          </mc:Choice>
        </mc:AlternateContent>
        <mc:AlternateContent xmlns:mc="http://schemas.openxmlformats.org/markup-compatibility/2006">
          <mc:Choice Requires="x14">
            <control shapeId="471223" r:id="rId161" name="bpmDropDownFLU297">
              <controlPr defaultSize="0" autoFill="0" autoPict="0">
                <anchor moveWithCells="1">
                  <from>
                    <xdr:col>8</xdr:col>
                    <xdr:colOff>0</xdr:colOff>
                    <xdr:row>87</xdr:row>
                    <xdr:rowOff>0</xdr:rowOff>
                  </from>
                  <to>
                    <xdr:col>9</xdr:col>
                    <xdr:colOff>0</xdr:colOff>
                    <xdr:row>88</xdr:row>
                    <xdr:rowOff>0</xdr:rowOff>
                  </to>
                </anchor>
              </controlPr>
            </control>
          </mc:Choice>
        </mc:AlternateContent>
        <mc:AlternateContent xmlns:mc="http://schemas.openxmlformats.org/markup-compatibility/2006">
          <mc:Choice Requires="x14">
            <control shapeId="471224" r:id="rId162" name="bpmDropDownFLU298">
              <controlPr defaultSize="0" autoFill="0" autoPict="0">
                <anchor moveWithCells="1">
                  <from>
                    <xdr:col>8</xdr:col>
                    <xdr:colOff>0</xdr:colOff>
                    <xdr:row>88</xdr:row>
                    <xdr:rowOff>0</xdr:rowOff>
                  </from>
                  <to>
                    <xdr:col>9</xdr:col>
                    <xdr:colOff>0</xdr:colOff>
                    <xdr:row>89</xdr:row>
                    <xdr:rowOff>0</xdr:rowOff>
                  </to>
                </anchor>
              </controlPr>
            </control>
          </mc:Choice>
        </mc:AlternateContent>
        <mc:AlternateContent xmlns:mc="http://schemas.openxmlformats.org/markup-compatibility/2006">
          <mc:Choice Requires="x14">
            <control shapeId="471225" r:id="rId163" name="bpmDropDownFLU299">
              <controlPr defaultSize="0" autoFill="0" autoPict="0">
                <anchor moveWithCells="1">
                  <from>
                    <xdr:col>8</xdr:col>
                    <xdr:colOff>0</xdr:colOff>
                    <xdr:row>89</xdr:row>
                    <xdr:rowOff>0</xdr:rowOff>
                  </from>
                  <to>
                    <xdr:col>9</xdr:col>
                    <xdr:colOff>0</xdr:colOff>
                    <xdr:row>90</xdr:row>
                    <xdr:rowOff>0</xdr:rowOff>
                  </to>
                </anchor>
              </controlPr>
            </control>
          </mc:Choice>
        </mc:AlternateContent>
        <mc:AlternateContent xmlns:mc="http://schemas.openxmlformats.org/markup-compatibility/2006">
          <mc:Choice Requires="x14">
            <control shapeId="471226" r:id="rId164" name="bpmDropDownFLU300">
              <controlPr defaultSize="0" autoFill="0" autoPict="0">
                <anchor moveWithCells="1">
                  <from>
                    <xdr:col>8</xdr:col>
                    <xdr:colOff>0</xdr:colOff>
                    <xdr:row>90</xdr:row>
                    <xdr:rowOff>0</xdr:rowOff>
                  </from>
                  <to>
                    <xdr:col>9</xdr:col>
                    <xdr:colOff>0</xdr:colOff>
                    <xdr:row>91</xdr:row>
                    <xdr:rowOff>0</xdr:rowOff>
                  </to>
                </anchor>
              </controlPr>
            </control>
          </mc:Choice>
        </mc:AlternateContent>
        <mc:AlternateContent xmlns:mc="http://schemas.openxmlformats.org/markup-compatibility/2006">
          <mc:Choice Requires="x14">
            <control shapeId="471227" r:id="rId165" name="bpmDropDownFLU301">
              <controlPr defaultSize="0" autoFill="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471228" r:id="rId166" name="bpmDropDownFLU302">
              <controlPr defaultSize="0" autoFill="0" autoPict="0">
                <anchor moveWithCells="1">
                  <from>
                    <xdr:col>8</xdr:col>
                    <xdr:colOff>0</xdr:colOff>
                    <xdr:row>92</xdr:row>
                    <xdr:rowOff>0</xdr:rowOff>
                  </from>
                  <to>
                    <xdr:col>9</xdr:col>
                    <xdr:colOff>0</xdr:colOff>
                    <xdr:row>93</xdr:row>
                    <xdr:rowOff>0</xdr:rowOff>
                  </to>
                </anchor>
              </controlPr>
            </control>
          </mc:Choice>
        </mc:AlternateContent>
        <mc:AlternateContent xmlns:mc="http://schemas.openxmlformats.org/markup-compatibility/2006">
          <mc:Choice Requires="x14">
            <control shapeId="471229" r:id="rId167" name="bpmDropDownFLU303">
              <controlPr defaultSize="0" autoFill="0" autoPict="0">
                <anchor moveWithCells="1">
                  <from>
                    <xdr:col>8</xdr:col>
                    <xdr:colOff>0</xdr:colOff>
                    <xdr:row>93</xdr:row>
                    <xdr:rowOff>0</xdr:rowOff>
                  </from>
                  <to>
                    <xdr:col>9</xdr:col>
                    <xdr:colOff>0</xdr:colOff>
                    <xdr:row>94</xdr:row>
                    <xdr:rowOff>0</xdr:rowOff>
                  </to>
                </anchor>
              </controlPr>
            </control>
          </mc:Choice>
        </mc:AlternateContent>
        <mc:AlternateContent xmlns:mc="http://schemas.openxmlformats.org/markup-compatibility/2006">
          <mc:Choice Requires="x14">
            <control shapeId="471230" r:id="rId168" name="bpmDropDownFLU312">
              <controlPr defaultSize="0" autoFill="0" autoPict="0">
                <anchor moveWithCells="1">
                  <from>
                    <xdr:col>8</xdr:col>
                    <xdr:colOff>0</xdr:colOff>
                    <xdr:row>94</xdr:row>
                    <xdr:rowOff>0</xdr:rowOff>
                  </from>
                  <to>
                    <xdr:col>9</xdr:col>
                    <xdr:colOff>0</xdr:colOff>
                    <xdr:row>95</xdr:row>
                    <xdr:rowOff>0</xdr:rowOff>
                  </to>
                </anchor>
              </controlPr>
            </control>
          </mc:Choice>
        </mc:AlternateContent>
        <mc:AlternateContent xmlns:mc="http://schemas.openxmlformats.org/markup-compatibility/2006">
          <mc:Choice Requires="x14">
            <control shapeId="471231" r:id="rId169" name="bpmDropDownFLU328">
              <controlPr defaultSize="0" autoFill="0" autoPict="0">
                <anchor moveWithCells="1">
                  <from>
                    <xdr:col>8</xdr:col>
                    <xdr:colOff>0</xdr:colOff>
                    <xdr:row>146</xdr:row>
                    <xdr:rowOff>0</xdr:rowOff>
                  </from>
                  <to>
                    <xdr:col>9</xdr:col>
                    <xdr:colOff>0</xdr:colOff>
                    <xdr:row>147</xdr:row>
                    <xdr:rowOff>0</xdr:rowOff>
                  </to>
                </anchor>
              </controlPr>
            </control>
          </mc:Choice>
        </mc:AlternateContent>
        <mc:AlternateContent xmlns:mc="http://schemas.openxmlformats.org/markup-compatibility/2006">
          <mc:Choice Requires="x14">
            <control shapeId="471232" r:id="rId170" name="bpmDropDownFLU362">
              <controlPr defaultSize="0" autoFill="0" autoPict="0">
                <anchor moveWithCells="1">
                  <from>
                    <xdr:col>8</xdr:col>
                    <xdr:colOff>0</xdr:colOff>
                    <xdr:row>147</xdr:row>
                    <xdr:rowOff>0</xdr:rowOff>
                  </from>
                  <to>
                    <xdr:col>9</xdr:col>
                    <xdr:colOff>0</xdr:colOff>
                    <xdr:row>148</xdr:row>
                    <xdr:rowOff>0</xdr:rowOff>
                  </to>
                </anchor>
              </controlPr>
            </control>
          </mc:Choice>
        </mc:AlternateContent>
        <mc:AlternateContent xmlns:mc="http://schemas.openxmlformats.org/markup-compatibility/2006">
          <mc:Choice Requires="x14">
            <control shapeId="471233" r:id="rId171" name="bpmDropDownFLU377">
              <controlPr defaultSize="0" autoFill="0" autoPict="0">
                <anchor moveWithCells="1">
                  <from>
                    <xdr:col>8</xdr:col>
                    <xdr:colOff>0</xdr:colOff>
                    <xdr:row>148</xdr:row>
                    <xdr:rowOff>0</xdr:rowOff>
                  </from>
                  <to>
                    <xdr:col>9</xdr:col>
                    <xdr:colOff>0</xdr:colOff>
                    <xdr:row>149</xdr:row>
                    <xdr:rowOff>0</xdr:rowOff>
                  </to>
                </anchor>
              </controlPr>
            </control>
          </mc:Choice>
        </mc:AlternateContent>
        <mc:AlternateContent xmlns:mc="http://schemas.openxmlformats.org/markup-compatibility/2006">
          <mc:Choice Requires="x14">
            <control shapeId="471234" r:id="rId172" name="bpmDropDownFLU385">
              <controlPr defaultSize="0" autoFill="0" autoPict="0">
                <anchor moveWithCells="1">
                  <from>
                    <xdr:col>8</xdr:col>
                    <xdr:colOff>0</xdr:colOff>
                    <xdr:row>149</xdr:row>
                    <xdr:rowOff>0</xdr:rowOff>
                  </from>
                  <to>
                    <xdr:col>9</xdr:col>
                    <xdr:colOff>0</xdr:colOff>
                    <xdr:row>150</xdr:row>
                    <xdr:rowOff>0</xdr:rowOff>
                  </to>
                </anchor>
              </controlPr>
            </control>
          </mc:Choice>
        </mc:AlternateContent>
        <mc:AlternateContent xmlns:mc="http://schemas.openxmlformats.org/markup-compatibility/2006">
          <mc:Choice Requires="x14">
            <control shapeId="471235" r:id="rId173" name="bpmDropDownFLU436">
              <controlPr defaultSize="0" autoFill="0" autoPict="0">
                <anchor moveWithCells="1">
                  <from>
                    <xdr:col>8</xdr:col>
                    <xdr:colOff>0</xdr:colOff>
                    <xdr:row>150</xdr:row>
                    <xdr:rowOff>0</xdr:rowOff>
                  </from>
                  <to>
                    <xdr:col>9</xdr:col>
                    <xdr:colOff>0</xdr:colOff>
                    <xdr:row>151</xdr:row>
                    <xdr:rowOff>0</xdr:rowOff>
                  </to>
                </anchor>
              </controlPr>
            </control>
          </mc:Choice>
        </mc:AlternateContent>
        <mc:AlternateContent xmlns:mc="http://schemas.openxmlformats.org/markup-compatibility/2006">
          <mc:Choice Requires="x14">
            <control shapeId="471236" r:id="rId174" name="bpmDropDownFLU452">
              <controlPr defaultSize="0" autoFill="0" autoPict="0">
                <anchor moveWithCells="1">
                  <from>
                    <xdr:col>8</xdr:col>
                    <xdr:colOff>0</xdr:colOff>
                    <xdr:row>151</xdr:row>
                    <xdr:rowOff>0</xdr:rowOff>
                  </from>
                  <to>
                    <xdr:col>9</xdr:col>
                    <xdr:colOff>0</xdr:colOff>
                    <xdr:row>152</xdr:row>
                    <xdr:rowOff>0</xdr:rowOff>
                  </to>
                </anchor>
              </controlPr>
            </control>
          </mc:Choice>
        </mc:AlternateContent>
        <mc:AlternateContent xmlns:mc="http://schemas.openxmlformats.org/markup-compatibility/2006">
          <mc:Choice Requires="x14">
            <control shapeId="471237" r:id="rId175" name="bpmDropDownFLU468">
              <controlPr defaultSize="0" autoFill="0" autoPict="0">
                <anchor moveWithCells="1">
                  <from>
                    <xdr:col>8</xdr:col>
                    <xdr:colOff>0</xdr:colOff>
                    <xdr:row>152</xdr:row>
                    <xdr:rowOff>0</xdr:rowOff>
                  </from>
                  <to>
                    <xdr:col>9</xdr:col>
                    <xdr:colOff>0</xdr:colOff>
                    <xdr:row>153</xdr:row>
                    <xdr:rowOff>0</xdr:rowOff>
                  </to>
                </anchor>
              </controlPr>
            </control>
          </mc:Choice>
        </mc:AlternateContent>
        <mc:AlternateContent xmlns:mc="http://schemas.openxmlformats.org/markup-compatibility/2006">
          <mc:Choice Requires="x14">
            <control shapeId="471238" r:id="rId176" name="bpmDropDownFLU485">
              <controlPr defaultSize="0" autoFill="0" autoPict="0">
                <anchor moveWithCells="1">
                  <from>
                    <xdr:col>8</xdr:col>
                    <xdr:colOff>0</xdr:colOff>
                    <xdr:row>153</xdr:row>
                    <xdr:rowOff>0</xdr:rowOff>
                  </from>
                  <to>
                    <xdr:col>9</xdr:col>
                    <xdr:colOff>0</xdr:colOff>
                    <xdr:row>154</xdr:row>
                    <xdr:rowOff>0</xdr:rowOff>
                  </to>
                </anchor>
              </controlPr>
            </control>
          </mc:Choice>
        </mc:AlternateContent>
        <mc:AlternateContent xmlns:mc="http://schemas.openxmlformats.org/markup-compatibility/2006">
          <mc:Choice Requires="x14">
            <control shapeId="471239" r:id="rId177" name="bpmDropDownFLU502">
              <controlPr defaultSize="0" autoFill="0" autoPict="0">
                <anchor moveWithCells="1">
                  <from>
                    <xdr:col>8</xdr:col>
                    <xdr:colOff>0</xdr:colOff>
                    <xdr:row>154</xdr:row>
                    <xdr:rowOff>0</xdr:rowOff>
                  </from>
                  <to>
                    <xdr:col>9</xdr:col>
                    <xdr:colOff>0</xdr:colOff>
                    <xdr:row>155</xdr:row>
                    <xdr:rowOff>0</xdr:rowOff>
                  </to>
                </anchor>
              </controlPr>
            </control>
          </mc:Choice>
        </mc:AlternateContent>
        <mc:AlternateContent xmlns:mc="http://schemas.openxmlformats.org/markup-compatibility/2006">
          <mc:Choice Requires="x14">
            <control shapeId="471240" r:id="rId178" name="bpmDropDownFLU505">
              <controlPr defaultSize="0" autoFill="0" autoPict="0">
                <anchor moveWithCells="1">
                  <from>
                    <xdr:col>8</xdr:col>
                    <xdr:colOff>0</xdr:colOff>
                    <xdr:row>155</xdr:row>
                    <xdr:rowOff>0</xdr:rowOff>
                  </from>
                  <to>
                    <xdr:col>9</xdr:col>
                    <xdr:colOff>0</xdr:colOff>
                    <xdr:row>156</xdr:row>
                    <xdr:rowOff>0</xdr:rowOff>
                  </to>
                </anchor>
              </controlPr>
            </control>
          </mc:Choice>
        </mc:AlternateContent>
        <mc:AlternateContent xmlns:mc="http://schemas.openxmlformats.org/markup-compatibility/2006">
          <mc:Choice Requires="x14">
            <control shapeId="471241" r:id="rId179" name="bpmDropDownFLU526">
              <controlPr defaultSize="0" autoFill="0" autoPict="0">
                <anchor moveWithCells="1">
                  <from>
                    <xdr:col>8</xdr:col>
                    <xdr:colOff>0</xdr:colOff>
                    <xdr:row>156</xdr:row>
                    <xdr:rowOff>0</xdr:rowOff>
                  </from>
                  <to>
                    <xdr:col>9</xdr:col>
                    <xdr:colOff>0</xdr:colOff>
                    <xdr:row>157</xdr:row>
                    <xdr:rowOff>0</xdr:rowOff>
                  </to>
                </anchor>
              </controlPr>
            </control>
          </mc:Choice>
        </mc:AlternateContent>
        <mc:AlternateContent xmlns:mc="http://schemas.openxmlformats.org/markup-compatibility/2006">
          <mc:Choice Requires="x14">
            <control shapeId="471242" r:id="rId180" name="bpmDropDownFLU537">
              <controlPr defaultSize="0" autoFill="0" autoPict="0">
                <anchor moveWithCells="1">
                  <from>
                    <xdr:col>8</xdr:col>
                    <xdr:colOff>0</xdr:colOff>
                    <xdr:row>157</xdr:row>
                    <xdr:rowOff>0</xdr:rowOff>
                  </from>
                  <to>
                    <xdr:col>9</xdr:col>
                    <xdr:colOff>0</xdr:colOff>
                    <xdr:row>158</xdr:row>
                    <xdr:rowOff>0</xdr:rowOff>
                  </to>
                </anchor>
              </controlPr>
            </control>
          </mc:Choice>
        </mc:AlternateContent>
        <mc:AlternateContent xmlns:mc="http://schemas.openxmlformats.org/markup-compatibility/2006">
          <mc:Choice Requires="x14">
            <control shapeId="471243" r:id="rId181" name="bpmDropDownFLU538">
              <controlPr defaultSize="0" autoFill="0" autoPict="0">
                <anchor moveWithCells="1">
                  <from>
                    <xdr:col>8</xdr:col>
                    <xdr:colOff>0</xdr:colOff>
                    <xdr:row>158</xdr:row>
                    <xdr:rowOff>0</xdr:rowOff>
                  </from>
                  <to>
                    <xdr:col>9</xdr:col>
                    <xdr:colOff>0</xdr:colOff>
                    <xdr:row>159</xdr:row>
                    <xdr:rowOff>0</xdr:rowOff>
                  </to>
                </anchor>
              </controlPr>
            </control>
          </mc:Choice>
        </mc:AlternateContent>
        <mc:AlternateContent xmlns:mc="http://schemas.openxmlformats.org/markup-compatibility/2006">
          <mc:Choice Requires="x14">
            <control shapeId="471244" r:id="rId182" name="bpmDropDownFLU559">
              <controlPr defaultSize="0" autoFill="0" autoPict="0">
                <anchor moveWithCells="1">
                  <from>
                    <xdr:col>8</xdr:col>
                    <xdr:colOff>0</xdr:colOff>
                    <xdr:row>159</xdr:row>
                    <xdr:rowOff>0</xdr:rowOff>
                  </from>
                  <to>
                    <xdr:col>9</xdr:col>
                    <xdr:colOff>0</xdr:colOff>
                    <xdr:row>160</xdr:row>
                    <xdr:rowOff>0</xdr:rowOff>
                  </to>
                </anchor>
              </controlPr>
            </control>
          </mc:Choice>
        </mc:AlternateContent>
        <mc:AlternateContent xmlns:mc="http://schemas.openxmlformats.org/markup-compatibility/2006">
          <mc:Choice Requires="x14">
            <control shapeId="471245" r:id="rId183" name="bpmDropDownFLU598">
              <controlPr defaultSize="0" autoFill="0" autoPict="0">
                <anchor moveWithCells="1">
                  <from>
                    <xdr:col>8</xdr:col>
                    <xdr:colOff>0</xdr:colOff>
                    <xdr:row>160</xdr:row>
                    <xdr:rowOff>0</xdr:rowOff>
                  </from>
                  <to>
                    <xdr:col>9</xdr:col>
                    <xdr:colOff>0</xdr:colOff>
                    <xdr:row>161</xdr:row>
                    <xdr:rowOff>0</xdr:rowOff>
                  </to>
                </anchor>
              </controlPr>
            </control>
          </mc:Choice>
        </mc:AlternateContent>
        <mc:AlternateContent xmlns:mc="http://schemas.openxmlformats.org/markup-compatibility/2006">
          <mc:Choice Requires="x14">
            <control shapeId="471246" r:id="rId184" name="bpmDropDownFLU599">
              <controlPr defaultSize="0" autoFill="0" autoPict="0">
                <anchor moveWithCells="1">
                  <from>
                    <xdr:col>3</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471247" r:id="rId185" name="bpmDropDownFLU600">
              <controlPr defaultSize="0" autoFill="0" autoPict="0">
                <anchor moveWithCells="1">
                  <from>
                    <xdr:col>3</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471248" r:id="rId186" name="bpmDropDownFLU601">
              <controlPr defaultSize="0" autoFill="0" autoPict="0">
                <anchor moveWithCells="1">
                  <from>
                    <xdr:col>3</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471249" r:id="rId187" name="bpmDropDownFLU602">
              <controlPr defaultSize="0" autoFill="0" autoPict="0">
                <anchor moveWithCells="1">
                  <from>
                    <xdr:col>3</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471250" r:id="rId188" name="bpmDropDownFLU603">
              <controlPr defaultSize="0" autoFill="0" autoPict="0">
                <anchor moveWithCells="1">
                  <from>
                    <xdr:col>3</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471251" r:id="rId189" name="bpmDropDownFLU604">
              <controlPr defaultSize="0" autoFill="0" autoPict="0">
                <anchor moveWithCells="1">
                  <from>
                    <xdr:col>3</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471252" r:id="rId190" name="bpmDropDownFLU605">
              <controlPr defaultSize="0" autoFill="0" autoPict="0">
                <anchor moveWithCells="1">
                  <from>
                    <xdr:col>3</xdr:col>
                    <xdr:colOff>0</xdr:colOff>
                    <xdr:row>238</xdr:row>
                    <xdr:rowOff>0</xdr:rowOff>
                  </from>
                  <to>
                    <xdr:col>7</xdr:col>
                    <xdr:colOff>0</xdr:colOff>
                    <xdr:row>239</xdr:row>
                    <xdr:rowOff>0</xdr:rowOff>
                  </to>
                </anchor>
              </controlPr>
            </control>
          </mc:Choice>
        </mc:AlternateContent>
        <mc:AlternateContent xmlns:mc="http://schemas.openxmlformats.org/markup-compatibility/2006">
          <mc:Choice Requires="x14">
            <control shapeId="471253" r:id="rId191" name="bpmDropDownFLU610">
              <controlPr defaultSize="0" autoFill="0" autoPict="0">
                <anchor moveWithCells="1">
                  <from>
                    <xdr:col>3</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471254" r:id="rId192" name="bpmDropDownFLU614">
              <controlPr defaultSize="0" autoFill="0" autoPict="0">
                <anchor moveWithCells="1">
                  <from>
                    <xdr:col>3</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471255" r:id="rId193" name="bpmDropDownFLU615">
              <controlPr defaultSize="0" autoFill="0" autoPict="0">
                <anchor moveWithCells="1">
                  <from>
                    <xdr:col>3</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471256" r:id="rId194" name="bpmDropDownFLU616">
              <controlPr defaultSize="0" autoFill="0" autoPict="0">
                <anchor moveWithCells="1">
                  <from>
                    <xdr:col>3</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471257" r:id="rId195" name="bpmDropDownFLU617">
              <controlPr defaultSize="0" autoFill="0" autoPict="0">
                <anchor moveWithCells="1">
                  <from>
                    <xdr:col>3</xdr:col>
                    <xdr:colOff>0</xdr:colOff>
                    <xdr:row>243</xdr:row>
                    <xdr:rowOff>0</xdr:rowOff>
                  </from>
                  <to>
                    <xdr:col>7</xdr:col>
                    <xdr:colOff>0</xdr:colOff>
                    <xdr:row>244</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1">
    <tabColor indexed="10"/>
    <pageSetUpPr autoPageBreaks="0" fitToPage="1"/>
  </sheetPr>
  <dimension ref="C5:N20"/>
  <sheetViews>
    <sheetView showGridLines="0" zoomScaleNormal="100" workbookViewId="0"/>
  </sheetViews>
  <sheetFormatPr defaultColWidth="11.6640625" defaultRowHeight="14.4"/>
  <cols>
    <col min="3" max="6" width="3.6640625" customWidth="1"/>
  </cols>
  <sheetData>
    <row r="5" spans="3:14" ht="87.6">
      <c r="C5" s="346" t="s">
        <v>706</v>
      </c>
      <c r="I5" s="345" t="s">
        <v>707</v>
      </c>
      <c r="N5" s="347" t="s">
        <v>612</v>
      </c>
    </row>
    <row r="9" spans="3:14" ht="21">
      <c r="C9" s="1" t="s">
        <v>6</v>
      </c>
    </row>
    <row r="10" spans="3:14" ht="19.8">
      <c r="C10" s="7" t="s">
        <v>824</v>
      </c>
    </row>
    <row r="11" spans="3:14" ht="18">
      <c r="C11" s="4" t="str">
        <f>Model_Name</f>
        <v>Seasonal Influenza Immunization Costing Tool (SIICT)  - Test Country</v>
      </c>
    </row>
    <row r="12" spans="3:14">
      <c r="C12" s="668" t="s">
        <v>1</v>
      </c>
      <c r="D12" s="668"/>
      <c r="E12" s="668"/>
      <c r="F12" s="668"/>
      <c r="G12" s="668"/>
    </row>
    <row r="13" spans="3:14">
      <c r="C13" s="5" t="s">
        <v>4</v>
      </c>
      <c r="D13" s="6" t="s">
        <v>5</v>
      </c>
    </row>
    <row r="17" spans="3:3">
      <c r="C17" s="2"/>
    </row>
    <row r="18" spans="3:3">
      <c r="C18" s="3"/>
    </row>
    <row r="19" spans="3:3">
      <c r="C19" s="3"/>
    </row>
    <row r="20" spans="3:3">
      <c r="C20" s="3"/>
    </row>
  </sheetData>
  <mergeCells count="1">
    <mergeCell ref="C12:G12"/>
  </mergeCells>
  <hyperlinks>
    <hyperlink ref="D13" location="HL_Sheet_Main_37" tooltip="Go to Next Sheet" display="HL_Sheet_Main_37" xr:uid="{00000000-0004-0000-2000-000000000000}"/>
    <hyperlink ref="N5" location="HL_HOME2" tooltip="Go to Home Page" display="Go to Home Page" xr:uid="{00000000-0004-0000-2000-000001000000}"/>
    <hyperlink ref="C13" location="HL_Sheet_Main_34" tooltip="Go to Previous Sheet" display="HL_Sheet_Main_34" xr:uid="{00000000-0004-0000-2000-000002000000}"/>
    <hyperlink ref="C12" location="HL_Home" tooltip="Go to Table of Contents" display="HL_Home" xr:uid="{00000000-0004-0000-2000-000003000000}"/>
  </hyperlinks>
  <pageMargins left="0.4" right="0.4" top="0.6" bottom="1" header="0" footer="0.3"/>
  <pageSetup orientation="landscape" horizontalDpi="4294967292" verticalDpi="0" r:id="rId1"/>
  <headerFooter>
    <oddFooter>&amp;L&amp;F
&amp;A
Printed: &amp;T on &amp;D&amp;C&amp;",Bold"Section 3.
Page &amp;P of &amp;N</oddFooter>
  </headerFooter>
  <customProperties>
    <customPr name="LastActive"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indexed="62"/>
    <pageSetUpPr autoPageBreaks="0"/>
  </sheetPr>
  <dimension ref="A1:K27"/>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7" width="11.6640625" style="134" customWidth="1"/>
    <col min="8" max="8" width="5.6640625" style="134" customWidth="1"/>
    <col min="9" max="9" width="17.6640625" style="134" customWidth="1"/>
    <col min="10" max="11" width="11.6640625" style="134" customWidth="1"/>
    <col min="12" max="16384" width="11.6640625" style="134" hidden="1"/>
  </cols>
  <sheetData>
    <row r="1" spans="1:10" ht="50.1" customHeight="1">
      <c r="B1" s="46" t="s">
        <v>224</v>
      </c>
    </row>
    <row r="2" spans="1:10" ht="18">
      <c r="B2" s="47" t="str">
        <f>Model_Name</f>
        <v>Seasonal Influenza Immunization Costing Tool (SIICT)  - Test Country</v>
      </c>
    </row>
    <row r="3" spans="1:10">
      <c r="B3" s="716" t="s">
        <v>1</v>
      </c>
      <c r="C3" s="716"/>
      <c r="D3" s="716"/>
      <c r="E3" s="716"/>
      <c r="F3" s="716"/>
    </row>
    <row r="4" spans="1:10">
      <c r="A4" s="48" t="s">
        <v>3</v>
      </c>
      <c r="B4" s="49" t="s">
        <v>4</v>
      </c>
      <c r="C4" s="50" t="s">
        <v>5</v>
      </c>
      <c r="D4" s="51" t="s">
        <v>25</v>
      </c>
      <c r="E4" s="79" t="s">
        <v>26</v>
      </c>
      <c r="F4" s="52" t="s">
        <v>27</v>
      </c>
    </row>
    <row r="7" spans="1:10" ht="17.399999999999999">
      <c r="B7" s="15" t="s">
        <v>224</v>
      </c>
    </row>
    <row r="9" spans="1:10">
      <c r="C9" s="152" t="s">
        <v>225</v>
      </c>
    </row>
    <row r="10" spans="1:10" s="23" customFormat="1">
      <c r="C10" s="152" t="s">
        <v>199</v>
      </c>
    </row>
    <row r="11" spans="1:10">
      <c r="C11" s="725" t="s">
        <v>200</v>
      </c>
      <c r="D11" s="725"/>
      <c r="E11" s="725"/>
      <c r="F11" s="725"/>
      <c r="G11" s="725"/>
      <c r="H11" s="725"/>
      <c r="I11" s="152" t="s">
        <v>209</v>
      </c>
      <c r="J11" s="65" t="s">
        <v>535</v>
      </c>
    </row>
    <row r="12" spans="1:10" s="23" customFormat="1">
      <c r="C12" s="667" t="s">
        <v>536</v>
      </c>
      <c r="D12" s="667"/>
      <c r="E12" s="667"/>
      <c r="F12" s="667"/>
      <c r="G12" s="667"/>
      <c r="H12" s="667"/>
      <c r="I12" s="117">
        <v>13</v>
      </c>
      <c r="J12" s="64">
        <v>10</v>
      </c>
    </row>
    <row r="13" spans="1:10" s="23" customFormat="1">
      <c r="C13" s="667" t="s">
        <v>548</v>
      </c>
      <c r="D13" s="667"/>
      <c r="E13" s="667"/>
      <c r="F13" s="667"/>
      <c r="G13" s="667"/>
      <c r="H13" s="667"/>
      <c r="I13" s="117"/>
      <c r="J13" s="64">
        <v>10</v>
      </c>
    </row>
    <row r="14" spans="1:10" s="23" customFormat="1">
      <c r="C14" s="667" t="s">
        <v>537</v>
      </c>
      <c r="D14" s="667"/>
      <c r="E14" s="667"/>
      <c r="F14" s="667"/>
      <c r="G14" s="667"/>
      <c r="H14" s="667"/>
      <c r="I14" s="117"/>
      <c r="J14" s="64">
        <v>10</v>
      </c>
    </row>
    <row r="15" spans="1:10" s="23" customFormat="1">
      <c r="C15" s="667" t="s">
        <v>538</v>
      </c>
      <c r="D15" s="667"/>
      <c r="E15" s="667"/>
      <c r="F15" s="667"/>
      <c r="G15" s="667"/>
      <c r="H15" s="667"/>
      <c r="I15" s="117"/>
      <c r="J15" s="64">
        <v>1</v>
      </c>
    </row>
    <row r="16" spans="1:10" s="23" customFormat="1">
      <c r="C16" s="667" t="s">
        <v>538</v>
      </c>
      <c r="D16" s="667"/>
      <c r="E16" s="667"/>
      <c r="F16" s="667"/>
      <c r="G16" s="667"/>
      <c r="H16" s="667"/>
      <c r="I16" s="117"/>
      <c r="J16" s="64">
        <v>10</v>
      </c>
    </row>
    <row r="17" spans="3:10" s="23" customFormat="1">
      <c r="C17" s="667" t="s">
        <v>539</v>
      </c>
      <c r="D17" s="667"/>
      <c r="E17" s="667"/>
      <c r="F17" s="667"/>
      <c r="G17" s="667"/>
      <c r="H17" s="667"/>
      <c r="I17" s="117"/>
      <c r="J17" s="64">
        <v>1</v>
      </c>
    </row>
    <row r="18" spans="3:10" s="23" customFormat="1">
      <c r="C18" s="667" t="s">
        <v>540</v>
      </c>
      <c r="D18" s="667"/>
      <c r="E18" s="667"/>
      <c r="F18" s="667"/>
      <c r="G18" s="667"/>
      <c r="H18" s="667"/>
      <c r="I18" s="117"/>
      <c r="J18" s="64">
        <v>10</v>
      </c>
    </row>
    <row r="19" spans="3:10" s="23" customFormat="1">
      <c r="C19" s="667" t="s">
        <v>541</v>
      </c>
      <c r="D19" s="667"/>
      <c r="E19" s="667"/>
      <c r="F19" s="667"/>
      <c r="G19" s="667"/>
      <c r="H19" s="667"/>
      <c r="I19" s="117"/>
      <c r="J19" s="64">
        <v>1</v>
      </c>
    </row>
    <row r="20" spans="3:10" s="23" customFormat="1">
      <c r="C20" s="667" t="s">
        <v>542</v>
      </c>
      <c r="D20" s="667"/>
      <c r="E20" s="667"/>
      <c r="F20" s="667"/>
      <c r="G20" s="667"/>
      <c r="H20" s="667"/>
      <c r="I20" s="117"/>
      <c r="J20" s="64">
        <v>1</v>
      </c>
    </row>
    <row r="21" spans="3:10" s="61" customFormat="1">
      <c r="C21" s="735" t="s">
        <v>543</v>
      </c>
      <c r="D21" s="780"/>
      <c r="E21" s="780"/>
      <c r="F21" s="780"/>
      <c r="G21" s="780"/>
      <c r="H21" s="781"/>
      <c r="I21" s="117">
        <v>0</v>
      </c>
      <c r="J21" s="64">
        <v>10</v>
      </c>
    </row>
    <row r="22" spans="3:10" s="61" customFormat="1">
      <c r="C22" s="735" t="s">
        <v>544</v>
      </c>
      <c r="D22" s="780"/>
      <c r="E22" s="780"/>
      <c r="F22" s="780"/>
      <c r="G22" s="780"/>
      <c r="H22" s="781"/>
      <c r="I22" s="117">
        <v>0</v>
      </c>
      <c r="J22" s="64">
        <v>1</v>
      </c>
    </row>
    <row r="23" spans="3:10" s="61" customFormat="1">
      <c r="C23" s="735" t="s">
        <v>544</v>
      </c>
      <c r="D23" s="780"/>
      <c r="E23" s="780"/>
      <c r="F23" s="780"/>
      <c r="G23" s="780"/>
      <c r="H23" s="781"/>
      <c r="I23" s="117">
        <v>0</v>
      </c>
      <c r="J23" s="64">
        <v>10</v>
      </c>
    </row>
    <row r="24" spans="3:10" s="61" customFormat="1">
      <c r="C24" s="735" t="s">
        <v>545</v>
      </c>
      <c r="D24" s="780"/>
      <c r="E24" s="780"/>
      <c r="F24" s="780"/>
      <c r="G24" s="780"/>
      <c r="H24" s="781"/>
      <c r="I24" s="117">
        <v>0</v>
      </c>
      <c r="J24" s="64">
        <v>1</v>
      </c>
    </row>
    <row r="25" spans="3:10" s="61" customFormat="1">
      <c r="C25" s="735" t="s">
        <v>546</v>
      </c>
      <c r="D25" s="780"/>
      <c r="E25" s="780"/>
      <c r="F25" s="780"/>
      <c r="G25" s="780"/>
      <c r="H25" s="781"/>
      <c r="I25" s="117">
        <v>0</v>
      </c>
      <c r="J25" s="64">
        <v>10</v>
      </c>
    </row>
    <row r="26" spans="3:10">
      <c r="F26" s="152" t="s">
        <v>208</v>
      </c>
    </row>
    <row r="27" spans="3:10">
      <c r="F27" s="68" t="s">
        <v>547</v>
      </c>
    </row>
  </sheetData>
  <mergeCells count="16">
    <mergeCell ref="B3:F3"/>
    <mergeCell ref="C11:H11"/>
    <mergeCell ref="C12:H12"/>
    <mergeCell ref="C19:H19"/>
    <mergeCell ref="C20:H20"/>
    <mergeCell ref="C13:H13"/>
    <mergeCell ref="C14:H14"/>
    <mergeCell ref="C15:H15"/>
    <mergeCell ref="C16:H16"/>
    <mergeCell ref="C17:H17"/>
    <mergeCell ref="C18:H18"/>
    <mergeCell ref="C25:H25"/>
    <mergeCell ref="C24:H24"/>
    <mergeCell ref="C23:H23"/>
    <mergeCell ref="C22:H22"/>
    <mergeCell ref="C21:H21"/>
  </mergeCells>
  <dataValidations count="1">
    <dataValidation type="custom" showErrorMessage="1" errorTitle="Invalid Assumption" error="Assumption must be a number." sqref="I12:J25" xr:uid="{00000000-0002-0000-2100-000000000000}">
      <formula1>NOT(ISERROR(I12/1))</formula1>
    </dataValidation>
  </dataValidations>
  <hyperlinks>
    <hyperlink ref="A4" location="$B$5" tooltip="Go to Top of Sheet" display="$B$5" xr:uid="{00000000-0004-0000-2100-000000000000}"/>
    <hyperlink ref="B4" location="HL_Sheet_Main_7" tooltip="Go to Previous Sheet" display="HL_Sheet_Main_7" xr:uid="{00000000-0004-0000-2100-000001000000}"/>
    <hyperlink ref="C4" location="HL_Sheet_Main_28" tooltip="Go to Next Sheet" display="HL_Sheet_Main_28" xr:uid="{00000000-0004-0000-2100-000002000000}"/>
    <hyperlink ref="B3" location="HL_Home" tooltip="Go to Table of Contents" display="HL_Home" xr:uid="{00000000-0004-0000-2100-000003000000}"/>
    <hyperlink ref="D4" location="HL_Err_Chk" tooltip="Go to Error Checks" display="HL_Err_Chk" xr:uid="{00000000-0004-0000-2100-000004000000}"/>
    <hyperlink ref="E4" location="HL_Sens_Chk" tooltip="Go to Sensitivity Checks" display="HL_Sens_Chk" xr:uid="{00000000-0004-0000-2100-000005000000}"/>
    <hyperlink ref="F4" location="HL_Alt_Chk" tooltip="Go to Alert Checks" display="HL_Alt_Chk" xr:uid="{00000000-0004-0000-2100-000006000000}"/>
  </hyperlinks>
  <pageMargins left="0.4" right="0.4" top="0.6" bottom="1" header="0" footer="0.3"/>
  <pageSetup orientation="landscape" horizontalDpi="4294967292" verticalDpi="0" r:id="rId1"/>
  <headerFooter>
    <oddFooter>&amp;L&amp;F
&amp;A
Printed: &amp;T on &amp;D&amp;C&amp;",Bold"Sheet 3.a.
Page &amp;P of &amp;N</oddFooter>
  </headerFooter>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indexed="62"/>
    <pageSetUpPr autoPageBreaks="0"/>
  </sheetPr>
  <dimension ref="A1:AB277"/>
  <sheetViews>
    <sheetView showGridLines="0" zoomScaleNormal="100" workbookViewId="0">
      <pane xSplit="1" ySplit="4" topLeftCell="B5" activePane="bottomRight" state="frozen"/>
      <selection pane="topRight"/>
      <selection pane="bottomLeft"/>
      <selection pane="bottomRight"/>
    </sheetView>
  </sheetViews>
  <sheetFormatPr defaultColWidth="0" defaultRowHeight="14.4"/>
  <cols>
    <col min="1" max="5" width="3.6640625" style="134" customWidth="1"/>
    <col min="6" max="16" width="11.6640625" style="134" customWidth="1"/>
    <col min="17" max="17" width="11.88671875" style="134" customWidth="1"/>
    <col min="18" max="18" width="12.33203125" style="134" customWidth="1"/>
    <col min="19" max="28" width="11.6640625" style="134" customWidth="1"/>
    <col min="29" max="16384" width="11.6640625" style="134" hidden="1"/>
  </cols>
  <sheetData>
    <row r="1" spans="1:17" ht="50.1" customHeight="1">
      <c r="B1" s="46" t="s">
        <v>277</v>
      </c>
    </row>
    <row r="2" spans="1:17" ht="18">
      <c r="B2" s="47" t="str">
        <f>Model_Name</f>
        <v>Seasonal Influenza Immunization Costing Tool (SIICT)  - Test Country</v>
      </c>
    </row>
    <row r="3" spans="1:17">
      <c r="B3" s="716" t="s">
        <v>1</v>
      </c>
      <c r="C3" s="716"/>
      <c r="D3" s="716"/>
      <c r="E3" s="716"/>
      <c r="F3" s="716"/>
    </row>
    <row r="4" spans="1:17">
      <c r="A4" s="48" t="s">
        <v>3</v>
      </c>
      <c r="B4" s="49" t="s">
        <v>4</v>
      </c>
      <c r="C4" s="50" t="s">
        <v>5</v>
      </c>
      <c r="D4" s="51" t="s">
        <v>25</v>
      </c>
      <c r="E4" s="79" t="s">
        <v>26</v>
      </c>
      <c r="F4" s="52" t="s">
        <v>27</v>
      </c>
    </row>
    <row r="5" spans="1:17">
      <c r="N5" s="23"/>
      <c r="O5" s="23"/>
      <c r="P5" s="23"/>
      <c r="Q5" s="23"/>
    </row>
    <row r="6" spans="1:17">
      <c r="L6" s="23"/>
      <c r="N6" s="23"/>
      <c r="O6" s="23"/>
      <c r="P6" s="23"/>
      <c r="Q6" s="23"/>
    </row>
    <row r="7" spans="1:17" ht="17.399999999999999">
      <c r="B7" s="15" t="s">
        <v>286</v>
      </c>
      <c r="N7" s="23"/>
      <c r="O7" s="23"/>
      <c r="P7" s="23"/>
      <c r="Q7" s="23"/>
    </row>
    <row r="8" spans="1:17">
      <c r="N8" s="23"/>
      <c r="O8" s="23"/>
      <c r="P8" s="23"/>
      <c r="Q8" s="23"/>
    </row>
    <row r="9" spans="1:17" s="23" customFormat="1" ht="15.6">
      <c r="C9" s="111" t="s">
        <v>436</v>
      </c>
    </row>
    <row r="10" spans="1:17" s="23" customFormat="1" ht="15" thickBot="1">
      <c r="C10" s="55"/>
      <c r="D10" s="55"/>
      <c r="E10" s="55"/>
      <c r="F10" s="55"/>
      <c r="G10" s="55"/>
      <c r="H10" s="55"/>
      <c r="I10" s="55"/>
    </row>
    <row r="11" spans="1:17" s="23" customFormat="1" ht="15.6">
      <c r="C11" s="111" t="s">
        <v>94</v>
      </c>
    </row>
    <row r="12" spans="1:17" s="23" customFormat="1">
      <c r="D12" s="152" t="s">
        <v>175</v>
      </c>
    </row>
    <row r="13" spans="1:17" s="23" customFormat="1">
      <c r="D13" s="155" t="str">
        <f>"1. Input the number of "&amp;FLU_LU!$D$73&amp;" per each "&amp;FLU_LU!$D$72</f>
        <v>1. Input the number of Gozintas per each US Dollars</v>
      </c>
    </row>
    <row r="14" spans="1:17" s="23" customFormat="1">
      <c r="D14" s="152" t="s">
        <v>176</v>
      </c>
    </row>
    <row r="15" spans="1:17" s="23" customFormat="1">
      <c r="D15" s="152" t="s">
        <v>111</v>
      </c>
    </row>
    <row r="16" spans="1:17" s="23" customFormat="1">
      <c r="D16" s="152" t="s">
        <v>112</v>
      </c>
    </row>
    <row r="17" spans="3:17" s="23" customFormat="1" ht="15" thickBot="1">
      <c r="C17" s="55"/>
      <c r="D17" s="55"/>
      <c r="E17" s="55"/>
      <c r="F17" s="55"/>
      <c r="G17" s="55"/>
      <c r="H17" s="55"/>
      <c r="I17" s="55"/>
    </row>
    <row r="18" spans="3:17" s="23" customFormat="1"/>
    <row r="19" spans="3:17" s="23" customFormat="1">
      <c r="D19" s="725" t="s">
        <v>79</v>
      </c>
      <c r="E19" s="725"/>
      <c r="F19" s="725"/>
      <c r="G19" s="725"/>
      <c r="H19" s="152" t="s">
        <v>66</v>
      </c>
      <c r="J19" s="152" t="s">
        <v>836</v>
      </c>
    </row>
    <row r="20" spans="3:17" s="23" customFormat="1">
      <c r="D20" s="667" t="s">
        <v>85</v>
      </c>
      <c r="E20" s="667"/>
      <c r="F20" s="667"/>
      <c r="G20" s="667"/>
      <c r="H20" s="151" t="s">
        <v>80</v>
      </c>
      <c r="J20" s="140">
        <f>1/FLU_BASELINE_XCHANGE_RATE_2</f>
        <v>6.6666666666666671E-3</v>
      </c>
    </row>
    <row r="21" spans="3:17" s="23" customFormat="1">
      <c r="D21" s="667" t="s">
        <v>835</v>
      </c>
      <c r="E21" s="667"/>
      <c r="F21" s="667"/>
      <c r="G21" s="667"/>
      <c r="H21" s="151" t="s">
        <v>834</v>
      </c>
      <c r="J21" s="141">
        <v>150</v>
      </c>
    </row>
    <row r="22" spans="3:17" s="23" customFormat="1"/>
    <row r="23" spans="3:17" s="23" customFormat="1">
      <c r="H23" s="152" t="s">
        <v>459</v>
      </c>
    </row>
    <row r="24" spans="3:17" s="23" customFormat="1" ht="15.6">
      <c r="D24" s="111" t="s">
        <v>437</v>
      </c>
      <c r="H24" s="119">
        <f>Financial!I19</f>
        <v>0.03</v>
      </c>
    </row>
    <row r="25" spans="3:17">
      <c r="N25" s="23"/>
      <c r="O25" s="23"/>
      <c r="P25" s="23"/>
      <c r="Q25" s="23"/>
    </row>
    <row r="26" spans="3:17" s="23" customFormat="1" ht="15" thickBot="1">
      <c r="C26" s="55"/>
      <c r="D26" s="55"/>
      <c r="E26" s="55"/>
      <c r="F26" s="55"/>
      <c r="G26" s="55"/>
      <c r="H26" s="55"/>
      <c r="I26" s="55"/>
    </row>
    <row r="27" spans="3:17" s="23" customFormat="1"/>
    <row r="28" spans="3:17" s="23" customFormat="1" ht="15.6">
      <c r="C28" s="111" t="s">
        <v>460</v>
      </c>
    </row>
    <row r="29" spans="3:17" s="23" customFormat="1">
      <c r="D29" s="152" t="s">
        <v>263</v>
      </c>
      <c r="J29" s="152" t="s">
        <v>461</v>
      </c>
    </row>
    <row r="30" spans="3:17" s="23" customFormat="1">
      <c r="D30" s="667" t="s">
        <v>447</v>
      </c>
      <c r="E30" s="667"/>
      <c r="F30" s="667"/>
      <c r="G30" s="667"/>
      <c r="H30" s="667"/>
      <c r="J30" s="667"/>
      <c r="K30" s="667"/>
      <c r="L30" s="667"/>
      <c r="M30" s="667"/>
      <c r="N30" s="667"/>
      <c r="O30" s="667"/>
    </row>
    <row r="31" spans="3:17" s="23" customFormat="1">
      <c r="D31" s="667" t="s">
        <v>69</v>
      </c>
      <c r="E31" s="667"/>
      <c r="F31" s="667"/>
      <c r="G31" s="667"/>
      <c r="H31" s="667"/>
      <c r="J31" s="667"/>
      <c r="K31" s="667"/>
      <c r="L31" s="667"/>
      <c r="M31" s="667"/>
      <c r="N31" s="667"/>
      <c r="O31" s="667"/>
    </row>
    <row r="32" spans="3:17" s="23" customFormat="1">
      <c r="D32" s="667" t="s">
        <v>70</v>
      </c>
      <c r="E32" s="667"/>
      <c r="F32" s="667"/>
      <c r="G32" s="667"/>
      <c r="H32" s="667"/>
      <c r="J32" s="667"/>
      <c r="K32" s="667"/>
      <c r="L32" s="667"/>
      <c r="M32" s="667"/>
      <c r="N32" s="667"/>
      <c r="O32" s="667"/>
    </row>
    <row r="33" spans="3:15" s="23" customFormat="1">
      <c r="D33" s="667" t="s">
        <v>267</v>
      </c>
      <c r="E33" s="667"/>
      <c r="F33" s="667"/>
      <c r="G33" s="667"/>
      <c r="H33" s="667"/>
      <c r="J33" s="667"/>
      <c r="K33" s="667"/>
      <c r="L33" s="667"/>
      <c r="M33" s="667"/>
      <c r="N33" s="667"/>
      <c r="O33" s="667"/>
    </row>
    <row r="34" spans="3:15" s="23" customFormat="1"/>
    <row r="35" spans="3:15" s="23" customFormat="1">
      <c r="D35" s="152" t="s">
        <v>446</v>
      </c>
      <c r="J35" s="152" t="s">
        <v>461</v>
      </c>
    </row>
    <row r="36" spans="3:15" s="23" customFormat="1">
      <c r="D36" s="667" t="s">
        <v>82</v>
      </c>
      <c r="E36" s="667"/>
      <c r="F36" s="667"/>
      <c r="G36" s="667"/>
      <c r="H36" s="667"/>
      <c r="J36" s="667"/>
      <c r="K36" s="667"/>
      <c r="L36" s="667"/>
      <c r="M36" s="667"/>
      <c r="N36" s="667"/>
      <c r="O36" s="667"/>
    </row>
    <row r="37" spans="3:15" s="23" customFormat="1">
      <c r="D37" s="667" t="s">
        <v>266</v>
      </c>
      <c r="E37" s="667"/>
      <c r="F37" s="667"/>
      <c r="G37" s="667"/>
      <c r="H37" s="667"/>
      <c r="J37" s="667"/>
      <c r="K37" s="667"/>
      <c r="L37" s="667"/>
      <c r="M37" s="667"/>
      <c r="N37" s="667"/>
      <c r="O37" s="667"/>
    </row>
    <row r="38" spans="3:15" s="23" customFormat="1">
      <c r="D38" s="667" t="s">
        <v>265</v>
      </c>
      <c r="E38" s="667"/>
      <c r="F38" s="667"/>
      <c r="G38" s="667"/>
      <c r="H38" s="667"/>
      <c r="J38" s="667"/>
      <c r="K38" s="667"/>
      <c r="L38" s="667"/>
      <c r="M38" s="667"/>
      <c r="N38" s="667"/>
      <c r="O38" s="667"/>
    </row>
    <row r="39" spans="3:15" s="23" customFormat="1">
      <c r="D39" s="667" t="s">
        <v>154</v>
      </c>
      <c r="E39" s="667"/>
      <c r="F39" s="667"/>
      <c r="G39" s="667"/>
      <c r="H39" s="667"/>
      <c r="J39" s="667"/>
      <c r="K39" s="667"/>
      <c r="L39" s="667"/>
      <c r="M39" s="667"/>
      <c r="N39" s="667"/>
      <c r="O39" s="667"/>
    </row>
    <row r="40" spans="3:15" s="23" customFormat="1" ht="15" thickBot="1">
      <c r="C40" s="55"/>
      <c r="D40" s="55"/>
      <c r="E40" s="55"/>
      <c r="F40" s="55"/>
      <c r="G40" s="55"/>
      <c r="H40" s="55"/>
      <c r="I40" s="55"/>
    </row>
    <row r="41" spans="3:15" s="23" customFormat="1"/>
    <row r="42" spans="3:15" s="23" customFormat="1" ht="15.6">
      <c r="C42" s="111" t="s">
        <v>435</v>
      </c>
    </row>
    <row r="43" spans="3:15" s="23" customFormat="1"/>
    <row r="44" spans="3:15" s="23" customFormat="1" ht="15.6">
      <c r="C44" s="111" t="s">
        <v>94</v>
      </c>
    </row>
    <row r="45" spans="3:15" s="23" customFormat="1">
      <c r="D45" s="152" t="s">
        <v>177</v>
      </c>
    </row>
    <row r="46" spans="3:15" s="23" customFormat="1">
      <c r="D46" s="152" t="s">
        <v>178</v>
      </c>
    </row>
    <row r="47" spans="3:15" s="23" customFormat="1">
      <c r="D47" s="152" t="s">
        <v>179</v>
      </c>
    </row>
    <row r="48" spans="3:15" s="23" customFormat="1">
      <c r="D48" s="152" t="s">
        <v>180</v>
      </c>
    </row>
    <row r="49" spans="2:9" s="23" customFormat="1">
      <c r="D49" s="152" t="s">
        <v>181</v>
      </c>
    </row>
    <row r="50" spans="2:9" s="23" customFormat="1">
      <c r="E50" s="68" t="s">
        <v>182</v>
      </c>
    </row>
    <row r="51" spans="2:9" s="23" customFormat="1">
      <c r="D51" s="152" t="s">
        <v>183</v>
      </c>
    </row>
    <row r="52" spans="2:9" s="23" customFormat="1">
      <c r="D52" s="152" t="s">
        <v>184</v>
      </c>
    </row>
    <row r="53" spans="2:9" s="23" customFormat="1">
      <c r="E53" s="68" t="s">
        <v>185</v>
      </c>
    </row>
    <row r="54" spans="2:9" s="23" customFormat="1">
      <c r="E54" s="68" t="s">
        <v>186</v>
      </c>
    </row>
    <row r="55" spans="2:9" s="23" customFormat="1">
      <c r="D55" s="152" t="s">
        <v>187</v>
      </c>
    </row>
    <row r="56" spans="2:9" s="23" customFormat="1">
      <c r="D56" s="152" t="s">
        <v>188</v>
      </c>
    </row>
    <row r="57" spans="2:9" s="23" customFormat="1">
      <c r="D57" s="152" t="s">
        <v>111</v>
      </c>
    </row>
    <row r="58" spans="2:9" s="23" customFormat="1">
      <c r="D58" s="152" t="s">
        <v>112</v>
      </c>
    </row>
    <row r="59" spans="2:9" s="23" customFormat="1" ht="15" thickBot="1">
      <c r="C59" s="55"/>
      <c r="D59" s="55"/>
      <c r="E59" s="55"/>
      <c r="F59" s="55"/>
      <c r="G59" s="55"/>
      <c r="H59" s="55"/>
      <c r="I59" s="55"/>
    </row>
    <row r="60" spans="2:9" s="23" customFormat="1"/>
    <row r="61" spans="2:9" s="23" customFormat="1" ht="15" thickBot="1"/>
    <row r="62" spans="2:9" s="23" customFormat="1" ht="18.600000000000001" thickTop="1" thickBot="1">
      <c r="B62" s="146" t="s">
        <v>194</v>
      </c>
      <c r="D62" s="15" t="s">
        <v>287</v>
      </c>
    </row>
    <row r="63" spans="2:9" s="23" customFormat="1" ht="15" thickTop="1"/>
    <row r="64" spans="2:9" s="23" customFormat="1" ht="15.6">
      <c r="D64" s="111" t="s">
        <v>137</v>
      </c>
    </row>
    <row r="65" spans="4:21" s="23" customFormat="1"/>
    <row r="66" spans="4:21" s="23" customFormat="1" ht="28.8">
      <c r="D66" s="783" t="str">
        <f>D30</f>
        <v xml:space="preserve">Personnel </v>
      </c>
      <c r="E66" s="783"/>
      <c r="F66" s="783"/>
      <c r="G66" s="783"/>
      <c r="J66" s="28" t="str">
        <f>J68&amp;"s per "&amp;I69</f>
        <v>Months per Year</v>
      </c>
      <c r="K66" s="28" t="str">
        <f>K68&amp;"s per "&amp;J68</f>
        <v>Days per Month</v>
      </c>
      <c r="L66" s="28" t="str">
        <f>L68&amp;"s per "&amp;K68</f>
        <v>Hours per Day</v>
      </c>
      <c r="M66" s="28" t="str">
        <f>M68&amp;"s per "&amp;L68</f>
        <v>Minutes per Hour</v>
      </c>
    </row>
    <row r="67" spans="4:21" s="23" customFormat="1">
      <c r="J67" s="206">
        <v>12</v>
      </c>
      <c r="K67" s="206">
        <v>22</v>
      </c>
      <c r="L67" s="206">
        <v>8</v>
      </c>
      <c r="M67" s="206">
        <v>60</v>
      </c>
    </row>
    <row r="68" spans="4:21" s="23" customFormat="1">
      <c r="J68" s="137" t="str">
        <f>FLU_LU!$D$122</f>
        <v>Month</v>
      </c>
      <c r="K68" s="139" t="str">
        <f>FLU_LU!$D$127</f>
        <v>Day</v>
      </c>
      <c r="L68" s="139" t="str">
        <f>FLU_LU!$D$128</f>
        <v>Hour</v>
      </c>
      <c r="M68" s="138" t="str">
        <f>FLU_LU!$D$129</f>
        <v>Minute</v>
      </c>
    </row>
    <row r="69" spans="4:21" s="23" customFormat="1">
      <c r="I69" s="137" t="str">
        <f>FLU_LU!$D$121</f>
        <v>Year</v>
      </c>
      <c r="J69" s="313">
        <f>J67</f>
        <v>12</v>
      </c>
      <c r="K69" s="314">
        <f>J67*K67</f>
        <v>264</v>
      </c>
      <c r="L69" s="314">
        <f>J67*K67*L67</f>
        <v>2112</v>
      </c>
      <c r="M69" s="315">
        <f>J67*K67*L67*M67</f>
        <v>126720</v>
      </c>
    </row>
    <row r="70" spans="4:21" s="23" customFormat="1">
      <c r="I70" s="136" t="str">
        <f>FLU_LU!$D$122</f>
        <v>Month</v>
      </c>
      <c r="J70" s="316">
        <v>1</v>
      </c>
      <c r="K70" s="317">
        <v>21.5</v>
      </c>
      <c r="L70" s="318">
        <f>K67*L67</f>
        <v>176</v>
      </c>
      <c r="M70" s="319">
        <f>K67*L67*M67</f>
        <v>10560</v>
      </c>
    </row>
    <row r="71" spans="4:21" s="23" customFormat="1"/>
    <row r="72" spans="4:21" s="23" customFormat="1"/>
    <row r="73" spans="4:21" s="23" customFormat="1" ht="72">
      <c r="D73" s="782" t="str">
        <f>"Recurrent Cost Item - "&amp;D66</f>
        <v xml:space="preserve">Recurrent Cost Item - Personnel </v>
      </c>
      <c r="E73" s="782"/>
      <c r="F73" s="782"/>
      <c r="G73" s="782"/>
      <c r="N73" s="28" t="str">
        <f>"Monthly Salary &amp; Benefits - Financial ("&amp;FLU_LU!$D$79&amp;")"</f>
        <v>Monthly Salary &amp; Benefits - Financial (GOZ)</v>
      </c>
      <c r="O73" s="28" t="str">
        <f>"Monthly Salary &amp; Benefits - Economic ("&amp;FLU_LU!$D$79&amp;")"</f>
        <v>Monthly Salary &amp; Benefits - Economic (GOZ)</v>
      </c>
      <c r="P73" s="28" t="str">
        <f>"Monthly Salary &amp; Benefits - Financial ("&amp;FLU_LU!$D$78&amp;")"</f>
        <v>Monthly Salary &amp; Benefits - Financial (USD)</v>
      </c>
      <c r="Q73" s="28" t="str">
        <f>"Monthly Salary &amp; Benefits - Economic ("&amp;FLU_LU!$D$78&amp;")"</f>
        <v>Monthly Salary &amp; Benefits - Economic (USD)</v>
      </c>
      <c r="R73" s="764" t="s">
        <v>64</v>
      </c>
      <c r="S73" s="764"/>
      <c r="T73" s="764"/>
      <c r="U73" s="764"/>
    </row>
    <row r="74" spans="4:21" s="23" customFormat="1">
      <c r="D74" s="667" t="s">
        <v>219</v>
      </c>
      <c r="E74" s="667"/>
      <c r="F74" s="667"/>
      <c r="G74" s="667"/>
      <c r="H74" s="667"/>
      <c r="I74" s="667"/>
      <c r="J74" s="667"/>
      <c r="K74" s="667"/>
      <c r="L74" s="667"/>
      <c r="M74" s="667"/>
      <c r="N74" s="64"/>
      <c r="O74" s="64"/>
      <c r="P74" s="14">
        <f t="shared" ref="P74:P98" si="0">N74/$J$21</f>
        <v>0</v>
      </c>
      <c r="Q74" s="14">
        <f t="shared" ref="Q74:Q98" si="1">O74/$J$21</f>
        <v>0</v>
      </c>
      <c r="R74" s="667"/>
      <c r="S74" s="667"/>
      <c r="T74" s="667"/>
      <c r="U74" s="667"/>
    </row>
    <row r="75" spans="4:21" s="23" customFormat="1">
      <c r="D75" s="667" t="s">
        <v>639</v>
      </c>
      <c r="E75" s="667"/>
      <c r="F75" s="667"/>
      <c r="G75" s="667"/>
      <c r="H75" s="667"/>
      <c r="I75" s="667"/>
      <c r="J75" s="667"/>
      <c r="K75" s="667"/>
      <c r="L75" s="667"/>
      <c r="M75" s="667"/>
      <c r="N75" s="64">
        <v>0</v>
      </c>
      <c r="O75" s="64">
        <v>0</v>
      </c>
      <c r="P75" s="179">
        <f t="shared" si="0"/>
        <v>0</v>
      </c>
      <c r="Q75" s="179">
        <f t="shared" si="1"/>
        <v>0</v>
      </c>
      <c r="R75" s="667"/>
      <c r="S75" s="667"/>
      <c r="T75" s="667"/>
      <c r="U75" s="667"/>
    </row>
    <row r="76" spans="4:21" s="23" customFormat="1">
      <c r="D76" s="667" t="s">
        <v>638</v>
      </c>
      <c r="E76" s="667"/>
      <c r="F76" s="667"/>
      <c r="G76" s="667"/>
      <c r="H76" s="667"/>
      <c r="I76" s="667"/>
      <c r="J76" s="667"/>
      <c r="K76" s="667"/>
      <c r="L76" s="667"/>
      <c r="M76" s="667"/>
      <c r="N76" s="64">
        <v>0</v>
      </c>
      <c r="O76" s="64">
        <v>0</v>
      </c>
      <c r="P76" s="14">
        <f t="shared" si="0"/>
        <v>0</v>
      </c>
      <c r="Q76" s="14">
        <f t="shared" si="1"/>
        <v>0</v>
      </c>
      <c r="R76" s="667"/>
      <c r="S76" s="667"/>
      <c r="T76" s="667"/>
      <c r="U76" s="667"/>
    </row>
    <row r="77" spans="4:21" s="23" customFormat="1">
      <c r="D77" s="667" t="s">
        <v>637</v>
      </c>
      <c r="E77" s="667"/>
      <c r="F77" s="667"/>
      <c r="G77" s="667"/>
      <c r="H77" s="667"/>
      <c r="I77" s="667"/>
      <c r="J77" s="667"/>
      <c r="K77" s="667"/>
      <c r="L77" s="667"/>
      <c r="M77" s="667"/>
      <c r="N77" s="64"/>
      <c r="O77" s="64">
        <v>52515</v>
      </c>
      <c r="P77" s="14">
        <f t="shared" si="0"/>
        <v>0</v>
      </c>
      <c r="Q77" s="14">
        <f t="shared" si="1"/>
        <v>350.1</v>
      </c>
      <c r="R77" s="667"/>
      <c r="S77" s="667"/>
      <c r="T77" s="667"/>
      <c r="U77" s="667"/>
    </row>
    <row r="78" spans="4:21" s="23" customFormat="1">
      <c r="D78" s="667" t="s">
        <v>640</v>
      </c>
      <c r="E78" s="667"/>
      <c r="F78" s="667"/>
      <c r="G78" s="667"/>
      <c r="H78" s="667"/>
      <c r="I78" s="667"/>
      <c r="J78" s="667"/>
      <c r="K78" s="667"/>
      <c r="L78" s="667"/>
      <c r="M78" s="667"/>
      <c r="N78" s="64">
        <v>0</v>
      </c>
      <c r="O78" s="64">
        <v>45600</v>
      </c>
      <c r="P78" s="14">
        <f t="shared" si="0"/>
        <v>0</v>
      </c>
      <c r="Q78" s="14">
        <f t="shared" si="1"/>
        <v>304</v>
      </c>
      <c r="R78" s="667"/>
      <c r="S78" s="667"/>
      <c r="T78" s="667"/>
      <c r="U78" s="667"/>
    </row>
    <row r="79" spans="4:21" s="23" customFormat="1">
      <c r="D79" s="667" t="s">
        <v>463</v>
      </c>
      <c r="E79" s="667"/>
      <c r="F79" s="667"/>
      <c r="G79" s="667"/>
      <c r="H79" s="667"/>
      <c r="I79" s="667"/>
      <c r="J79" s="667"/>
      <c r="K79" s="667"/>
      <c r="L79" s="667"/>
      <c r="M79" s="667"/>
      <c r="N79" s="64">
        <v>0</v>
      </c>
      <c r="O79" s="64">
        <v>82857</v>
      </c>
      <c r="P79" s="14">
        <f t="shared" si="0"/>
        <v>0</v>
      </c>
      <c r="Q79" s="14">
        <f t="shared" si="1"/>
        <v>552.38</v>
      </c>
      <c r="R79" s="667"/>
      <c r="S79" s="667"/>
      <c r="T79" s="667"/>
      <c r="U79" s="667"/>
    </row>
    <row r="80" spans="4:21" s="23" customFormat="1">
      <c r="D80" s="667" t="s">
        <v>636</v>
      </c>
      <c r="E80" s="667"/>
      <c r="F80" s="667"/>
      <c r="G80" s="667"/>
      <c r="H80" s="667"/>
      <c r="I80" s="667"/>
      <c r="J80" s="667"/>
      <c r="K80" s="667"/>
      <c r="L80" s="667"/>
      <c r="M80" s="667"/>
      <c r="N80" s="64">
        <v>0</v>
      </c>
      <c r="O80" s="64">
        <v>113281</v>
      </c>
      <c r="P80" s="14">
        <f t="shared" si="0"/>
        <v>0</v>
      </c>
      <c r="Q80" s="14">
        <f t="shared" si="1"/>
        <v>755.20666666666671</v>
      </c>
      <c r="R80" s="667"/>
      <c r="S80" s="667"/>
      <c r="T80" s="667"/>
      <c r="U80" s="667"/>
    </row>
    <row r="81" spans="4:21" s="23" customFormat="1">
      <c r="D81" s="667" t="s">
        <v>634</v>
      </c>
      <c r="E81" s="667"/>
      <c r="F81" s="667"/>
      <c r="G81" s="667"/>
      <c r="H81" s="667"/>
      <c r="I81" s="667"/>
      <c r="J81" s="667"/>
      <c r="K81" s="667"/>
      <c r="L81" s="667"/>
      <c r="M81" s="667"/>
      <c r="N81" s="64">
        <v>0</v>
      </c>
      <c r="O81" s="64">
        <v>155269</v>
      </c>
      <c r="P81" s="14">
        <f t="shared" si="0"/>
        <v>0</v>
      </c>
      <c r="Q81" s="14">
        <f t="shared" si="1"/>
        <v>1035.1266666666668</v>
      </c>
      <c r="R81" s="667" t="s">
        <v>635</v>
      </c>
      <c r="S81" s="667"/>
      <c r="T81" s="667"/>
      <c r="U81" s="667"/>
    </row>
    <row r="82" spans="4:21" s="23" customFormat="1">
      <c r="D82" s="667" t="s">
        <v>627</v>
      </c>
      <c r="E82" s="667"/>
      <c r="F82" s="667"/>
      <c r="G82" s="667"/>
      <c r="H82" s="667"/>
      <c r="I82" s="667"/>
      <c r="J82" s="667"/>
      <c r="K82" s="667"/>
      <c r="L82" s="667"/>
      <c r="M82" s="667"/>
      <c r="N82" s="64">
        <v>0</v>
      </c>
      <c r="O82" s="64">
        <v>81690</v>
      </c>
      <c r="P82" s="14">
        <f t="shared" si="0"/>
        <v>0</v>
      </c>
      <c r="Q82" s="14">
        <f t="shared" si="1"/>
        <v>544.6</v>
      </c>
      <c r="R82" s="667" t="s">
        <v>621</v>
      </c>
      <c r="S82" s="667"/>
      <c r="T82" s="667"/>
      <c r="U82" s="667"/>
    </row>
    <row r="83" spans="4:21" s="23" customFormat="1">
      <c r="D83" s="667" t="s">
        <v>629</v>
      </c>
      <c r="E83" s="667"/>
      <c r="F83" s="667"/>
      <c r="G83" s="667"/>
      <c r="H83" s="667"/>
      <c r="I83" s="667"/>
      <c r="J83" s="667"/>
      <c r="K83" s="667"/>
      <c r="L83" s="667"/>
      <c r="M83" s="667"/>
      <c r="N83" s="64">
        <v>0</v>
      </c>
      <c r="O83" s="64">
        <v>74804.7</v>
      </c>
      <c r="P83" s="14">
        <f t="shared" si="0"/>
        <v>0</v>
      </c>
      <c r="Q83" s="14">
        <f t="shared" si="1"/>
        <v>498.69799999999998</v>
      </c>
      <c r="R83" s="667"/>
      <c r="S83" s="667"/>
      <c r="T83" s="667"/>
      <c r="U83" s="667"/>
    </row>
    <row r="84" spans="4:21" s="23" customFormat="1">
      <c r="D84" s="667" t="s">
        <v>631</v>
      </c>
      <c r="E84" s="667"/>
      <c r="F84" s="667"/>
      <c r="G84" s="667"/>
      <c r="H84" s="667"/>
      <c r="I84" s="667"/>
      <c r="J84" s="667"/>
      <c r="K84" s="667"/>
      <c r="L84" s="667"/>
      <c r="M84" s="667"/>
      <c r="N84" s="64"/>
      <c r="O84" s="64">
        <v>88692</v>
      </c>
      <c r="P84" s="14">
        <f t="shared" si="0"/>
        <v>0</v>
      </c>
      <c r="Q84" s="14">
        <f t="shared" si="1"/>
        <v>591.28</v>
      </c>
      <c r="R84" s="667"/>
      <c r="S84" s="667"/>
      <c r="T84" s="667"/>
      <c r="U84" s="667"/>
    </row>
    <row r="85" spans="4:21" s="23" customFormat="1">
      <c r="D85" s="667" t="s">
        <v>349</v>
      </c>
      <c r="E85" s="667"/>
      <c r="F85" s="667"/>
      <c r="G85" s="667"/>
      <c r="H85" s="667"/>
      <c r="I85" s="667"/>
      <c r="J85" s="667"/>
      <c r="K85" s="667"/>
      <c r="L85" s="667"/>
      <c r="M85" s="667"/>
      <c r="N85" s="64">
        <v>0</v>
      </c>
      <c r="O85" s="64">
        <v>57183</v>
      </c>
      <c r="P85" s="14">
        <f t="shared" si="0"/>
        <v>0</v>
      </c>
      <c r="Q85" s="14">
        <f t="shared" si="1"/>
        <v>381.22</v>
      </c>
      <c r="R85" s="667"/>
      <c r="S85" s="667"/>
      <c r="T85" s="667"/>
      <c r="U85" s="667"/>
    </row>
    <row r="86" spans="4:21" s="23" customFormat="1">
      <c r="D86" s="667" t="s">
        <v>626</v>
      </c>
      <c r="E86" s="667"/>
      <c r="F86" s="667"/>
      <c r="G86" s="667"/>
      <c r="H86" s="667"/>
      <c r="I86" s="667"/>
      <c r="J86" s="667"/>
      <c r="K86" s="667"/>
      <c r="L86" s="667"/>
      <c r="M86" s="667"/>
      <c r="N86" s="64">
        <v>0</v>
      </c>
      <c r="O86" s="64">
        <v>90512.52</v>
      </c>
      <c r="P86" s="14">
        <f t="shared" si="0"/>
        <v>0</v>
      </c>
      <c r="Q86" s="14">
        <f t="shared" si="1"/>
        <v>603.41680000000008</v>
      </c>
      <c r="R86" s="667" t="s">
        <v>619</v>
      </c>
      <c r="S86" s="667"/>
      <c r="T86" s="667"/>
      <c r="U86" s="667"/>
    </row>
    <row r="87" spans="4:21" s="23" customFormat="1">
      <c r="D87" s="667" t="s">
        <v>625</v>
      </c>
      <c r="E87" s="667"/>
      <c r="F87" s="667"/>
      <c r="G87" s="667"/>
      <c r="H87" s="667"/>
      <c r="I87" s="667"/>
      <c r="J87" s="667"/>
      <c r="K87" s="667"/>
      <c r="L87" s="667"/>
      <c r="M87" s="667"/>
      <c r="N87" s="64">
        <v>0</v>
      </c>
      <c r="O87" s="64">
        <v>76438.5</v>
      </c>
      <c r="P87" s="14">
        <f t="shared" si="0"/>
        <v>0</v>
      </c>
      <c r="Q87" s="14">
        <f t="shared" si="1"/>
        <v>509.59</v>
      </c>
      <c r="R87" s="667"/>
      <c r="S87" s="667"/>
      <c r="T87" s="667"/>
      <c r="U87" s="667"/>
    </row>
    <row r="88" spans="4:21" s="23" customFormat="1">
      <c r="D88" s="667" t="s">
        <v>624</v>
      </c>
      <c r="E88" s="667"/>
      <c r="F88" s="667"/>
      <c r="G88" s="667"/>
      <c r="H88" s="667"/>
      <c r="I88" s="667"/>
      <c r="J88" s="667"/>
      <c r="K88" s="667"/>
      <c r="L88" s="667"/>
      <c r="M88" s="667"/>
      <c r="N88" s="64">
        <v>0</v>
      </c>
      <c r="O88" s="64">
        <v>54265.5</v>
      </c>
      <c r="P88" s="14">
        <f t="shared" si="0"/>
        <v>0</v>
      </c>
      <c r="Q88" s="14">
        <f t="shared" si="1"/>
        <v>361.77</v>
      </c>
      <c r="R88" s="667"/>
      <c r="S88" s="667"/>
      <c r="T88" s="667"/>
      <c r="U88" s="667"/>
    </row>
    <row r="89" spans="4:21" s="23" customFormat="1">
      <c r="D89" s="667" t="s">
        <v>630</v>
      </c>
      <c r="E89" s="667"/>
      <c r="F89" s="667"/>
      <c r="G89" s="667"/>
      <c r="H89" s="667"/>
      <c r="I89" s="667"/>
      <c r="J89" s="667"/>
      <c r="K89" s="667"/>
      <c r="L89" s="667"/>
      <c r="M89" s="667"/>
      <c r="N89" s="64">
        <v>0</v>
      </c>
      <c r="O89" s="64">
        <v>81690</v>
      </c>
      <c r="P89" s="14">
        <f t="shared" si="0"/>
        <v>0</v>
      </c>
      <c r="Q89" s="14">
        <f t="shared" si="1"/>
        <v>544.6</v>
      </c>
      <c r="R89" s="667" t="s">
        <v>623</v>
      </c>
      <c r="S89" s="667"/>
      <c r="T89" s="667"/>
      <c r="U89" s="667"/>
    </row>
    <row r="90" spans="4:21" s="23" customFormat="1">
      <c r="D90" s="667" t="s">
        <v>628</v>
      </c>
      <c r="E90" s="667"/>
      <c r="F90" s="667"/>
      <c r="G90" s="667"/>
      <c r="H90" s="667"/>
      <c r="I90" s="667"/>
      <c r="J90" s="667"/>
      <c r="K90" s="667"/>
      <c r="L90" s="667"/>
      <c r="M90" s="667"/>
      <c r="N90" s="64">
        <v>0</v>
      </c>
      <c r="O90" s="64">
        <v>132687.9</v>
      </c>
      <c r="P90" s="179">
        <f t="shared" si="0"/>
        <v>0</v>
      </c>
      <c r="Q90" s="179">
        <f t="shared" si="1"/>
        <v>884.58600000000001</v>
      </c>
      <c r="R90" s="667" t="s">
        <v>620</v>
      </c>
      <c r="S90" s="667"/>
      <c r="T90" s="667"/>
      <c r="U90" s="667"/>
    </row>
    <row r="91" spans="4:21" s="23" customFormat="1">
      <c r="D91" s="667" t="s">
        <v>632</v>
      </c>
      <c r="E91" s="667"/>
      <c r="F91" s="667"/>
      <c r="G91" s="667"/>
      <c r="H91" s="667"/>
      <c r="I91" s="667"/>
      <c r="J91" s="667"/>
      <c r="K91" s="667"/>
      <c r="L91" s="667"/>
      <c r="M91" s="667"/>
      <c r="N91" s="64">
        <v>0</v>
      </c>
      <c r="O91" s="64">
        <v>92193</v>
      </c>
      <c r="P91" s="179">
        <f t="shared" si="0"/>
        <v>0</v>
      </c>
      <c r="Q91" s="179">
        <f t="shared" si="1"/>
        <v>614.62</v>
      </c>
      <c r="R91" s="667" t="s">
        <v>619</v>
      </c>
      <c r="S91" s="667"/>
      <c r="T91" s="667"/>
      <c r="U91" s="667"/>
    </row>
    <row r="92" spans="4:21" s="23" customFormat="1">
      <c r="D92" s="667" t="s">
        <v>348</v>
      </c>
      <c r="E92" s="667"/>
      <c r="F92" s="667"/>
      <c r="G92" s="667"/>
      <c r="H92" s="667"/>
      <c r="I92" s="667"/>
      <c r="J92" s="667"/>
      <c r="K92" s="667"/>
      <c r="L92" s="667"/>
      <c r="M92" s="667"/>
      <c r="N92" s="64">
        <v>0</v>
      </c>
      <c r="O92" s="64">
        <v>52515</v>
      </c>
      <c r="P92" s="14">
        <f t="shared" si="0"/>
        <v>0</v>
      </c>
      <c r="Q92" s="14">
        <f t="shared" si="1"/>
        <v>350.1</v>
      </c>
      <c r="R92" s="667" t="s">
        <v>663</v>
      </c>
      <c r="S92" s="667"/>
      <c r="T92" s="667"/>
      <c r="U92" s="667"/>
    </row>
    <row r="93" spans="4:21" s="23" customFormat="1">
      <c r="D93" s="667" t="s">
        <v>347</v>
      </c>
      <c r="E93" s="667"/>
      <c r="F93" s="667"/>
      <c r="G93" s="667"/>
      <c r="H93" s="667"/>
      <c r="I93" s="667"/>
      <c r="J93" s="667"/>
      <c r="K93" s="667"/>
      <c r="L93" s="667"/>
      <c r="M93" s="667"/>
      <c r="N93" s="64"/>
      <c r="O93" s="64">
        <v>59633.7</v>
      </c>
      <c r="P93" s="14">
        <f t="shared" si="0"/>
        <v>0</v>
      </c>
      <c r="Q93" s="14">
        <f t="shared" si="1"/>
        <v>397.55799999999999</v>
      </c>
      <c r="R93" s="667"/>
      <c r="S93" s="667"/>
      <c r="T93" s="667"/>
      <c r="U93" s="667"/>
    </row>
    <row r="94" spans="4:21" s="23" customFormat="1">
      <c r="D94" s="667" t="s">
        <v>350</v>
      </c>
      <c r="E94" s="667"/>
      <c r="F94" s="667"/>
      <c r="G94" s="667"/>
      <c r="H94" s="667"/>
      <c r="I94" s="667"/>
      <c r="J94" s="667"/>
      <c r="K94" s="667"/>
      <c r="L94" s="667"/>
      <c r="M94" s="667"/>
      <c r="N94" s="64">
        <v>0</v>
      </c>
      <c r="O94" s="64">
        <v>92193</v>
      </c>
      <c r="P94" s="14">
        <f t="shared" si="0"/>
        <v>0</v>
      </c>
      <c r="Q94" s="14">
        <f t="shared" si="1"/>
        <v>614.62</v>
      </c>
      <c r="R94" s="667"/>
      <c r="S94" s="667"/>
      <c r="T94" s="667"/>
      <c r="U94" s="667"/>
    </row>
    <row r="95" spans="4:21" s="23" customFormat="1">
      <c r="D95" s="667" t="s">
        <v>633</v>
      </c>
      <c r="E95" s="667"/>
      <c r="F95" s="667"/>
      <c r="G95" s="667"/>
      <c r="H95" s="667"/>
      <c r="I95" s="667"/>
      <c r="J95" s="667"/>
      <c r="K95" s="667"/>
      <c r="L95" s="667"/>
      <c r="M95" s="667"/>
      <c r="N95" s="64">
        <v>0</v>
      </c>
      <c r="O95" s="64">
        <v>81690</v>
      </c>
      <c r="P95" s="14">
        <f t="shared" si="0"/>
        <v>0</v>
      </c>
      <c r="Q95" s="14">
        <f t="shared" si="1"/>
        <v>544.6</v>
      </c>
      <c r="R95" s="667" t="s">
        <v>622</v>
      </c>
      <c r="S95" s="667"/>
      <c r="T95" s="667"/>
      <c r="U95" s="667"/>
    </row>
    <row r="96" spans="4:21" s="23" customFormat="1">
      <c r="D96" s="735" t="s">
        <v>641</v>
      </c>
      <c r="E96" s="786"/>
      <c r="F96" s="786"/>
      <c r="G96" s="786"/>
      <c r="H96" s="786"/>
      <c r="I96" s="786"/>
      <c r="J96" s="786"/>
      <c r="K96" s="786"/>
      <c r="L96" s="786"/>
      <c r="M96" s="787"/>
      <c r="N96" s="64">
        <v>0</v>
      </c>
      <c r="O96" s="64">
        <v>0</v>
      </c>
      <c r="P96" s="179">
        <f t="shared" si="0"/>
        <v>0</v>
      </c>
      <c r="Q96" s="179">
        <f t="shared" si="1"/>
        <v>0</v>
      </c>
      <c r="R96" s="735"/>
      <c r="S96" s="786"/>
      <c r="T96" s="786"/>
      <c r="U96" s="787"/>
    </row>
    <row r="97" spans="4:21" s="23" customFormat="1">
      <c r="D97" s="735" t="s">
        <v>642</v>
      </c>
      <c r="E97" s="786"/>
      <c r="F97" s="786"/>
      <c r="G97" s="786"/>
      <c r="H97" s="786"/>
      <c r="I97" s="786"/>
      <c r="J97" s="786"/>
      <c r="K97" s="786"/>
      <c r="L97" s="786"/>
      <c r="M97" s="787"/>
      <c r="N97" s="64">
        <v>0</v>
      </c>
      <c r="O97" s="64">
        <v>0</v>
      </c>
      <c r="P97" s="179">
        <f t="shared" si="0"/>
        <v>0</v>
      </c>
      <c r="Q97" s="179">
        <f t="shared" si="1"/>
        <v>0</v>
      </c>
      <c r="R97" s="735"/>
      <c r="S97" s="786"/>
      <c r="T97" s="786"/>
      <c r="U97" s="787"/>
    </row>
    <row r="98" spans="4:21" s="23" customFormat="1">
      <c r="D98" s="735" t="s">
        <v>643</v>
      </c>
      <c r="E98" s="786"/>
      <c r="F98" s="786"/>
      <c r="G98" s="786"/>
      <c r="H98" s="786"/>
      <c r="I98" s="786"/>
      <c r="J98" s="786"/>
      <c r="K98" s="786"/>
      <c r="L98" s="786"/>
      <c r="M98" s="787"/>
      <c r="N98" s="64">
        <v>0</v>
      </c>
      <c r="O98" s="64">
        <v>0</v>
      </c>
      <c r="P98" s="179">
        <f t="shared" si="0"/>
        <v>0</v>
      </c>
      <c r="Q98" s="179">
        <f t="shared" si="1"/>
        <v>0</v>
      </c>
      <c r="R98" s="735"/>
      <c r="S98" s="786"/>
      <c r="T98" s="786"/>
      <c r="U98" s="787"/>
    </row>
    <row r="99" spans="4:21" s="23" customFormat="1"/>
    <row r="100" spans="4:21" s="23" customFormat="1"/>
    <row r="101" spans="4:21" s="23" customFormat="1" ht="15.6">
      <c r="D101" s="783" t="str">
        <f>FLU_LU!$D$279</f>
        <v>Allowances</v>
      </c>
      <c r="E101" s="783"/>
      <c r="F101" s="783"/>
      <c r="G101" s="783"/>
    </row>
    <row r="102" spans="4:21" s="23" customFormat="1"/>
    <row r="103" spans="4:21" s="23" customFormat="1" ht="43.2">
      <c r="D103" s="785" t="str">
        <f>"Recurrent Cost Item - "&amp;D101</f>
        <v>Recurrent Cost Item - Allowances</v>
      </c>
      <c r="E103" s="785"/>
      <c r="F103" s="785"/>
      <c r="G103" s="785"/>
      <c r="N103" s="28" t="str">
        <f>"Unit Cost (Financial) ("&amp;FLU_LU!$D$79&amp;")"</f>
        <v>Unit Cost (Financial) (GOZ)</v>
      </c>
      <c r="O103" s="28" t="str">
        <f>"Unit Cost (Economic) ("&amp;FLU_LU!$D$79&amp;")"</f>
        <v>Unit Cost (Economic) (GOZ)</v>
      </c>
      <c r="P103" s="28" t="str">
        <f>"Unit Cost (Financial) ("&amp;FLU_LU!$D$78&amp;")"</f>
        <v>Unit Cost (Financial) (USD)</v>
      </c>
      <c r="Q103" s="28" t="str">
        <f>"Unit Cost (Economic) ("&amp;FLU_LU!$D$78&amp;")"</f>
        <v>Unit Cost (Economic) (USD)</v>
      </c>
      <c r="R103" s="764" t="s">
        <v>64</v>
      </c>
      <c r="S103" s="764"/>
      <c r="T103" s="764"/>
      <c r="U103" s="764"/>
    </row>
    <row r="104" spans="4:21" s="23" customFormat="1">
      <c r="D104" s="667" t="s">
        <v>219</v>
      </c>
      <c r="E104" s="667"/>
      <c r="F104" s="667"/>
      <c r="G104" s="667"/>
      <c r="H104" s="667"/>
      <c r="I104" s="667"/>
      <c r="J104" s="667"/>
      <c r="K104" s="667"/>
      <c r="L104" s="667"/>
      <c r="M104" s="667"/>
      <c r="N104" s="64"/>
      <c r="O104" s="64"/>
      <c r="P104" s="14">
        <f t="shared" ref="P104:P113" si="2">N104/$J$21</f>
        <v>0</v>
      </c>
      <c r="Q104" s="14">
        <f t="shared" ref="Q104:Q113" si="3">O104/$J$21</f>
        <v>0</v>
      </c>
      <c r="R104" s="667"/>
      <c r="S104" s="667"/>
      <c r="T104" s="667"/>
      <c r="U104" s="667"/>
    </row>
    <row r="105" spans="4:21" s="23" customFormat="1">
      <c r="D105" s="667" t="s">
        <v>646</v>
      </c>
      <c r="E105" s="667"/>
      <c r="F105" s="667"/>
      <c r="G105" s="667"/>
      <c r="H105" s="667"/>
      <c r="I105" s="667"/>
      <c r="J105" s="667"/>
      <c r="K105" s="667"/>
      <c r="L105" s="667"/>
      <c r="M105" s="667"/>
      <c r="N105" s="64">
        <v>5500</v>
      </c>
      <c r="O105" s="64">
        <v>5500</v>
      </c>
      <c r="P105" s="14">
        <f t="shared" si="2"/>
        <v>36.666666666666664</v>
      </c>
      <c r="Q105" s="14">
        <f t="shared" si="3"/>
        <v>36.666666666666664</v>
      </c>
      <c r="R105" s="667" t="s">
        <v>354</v>
      </c>
      <c r="S105" s="667"/>
      <c r="T105" s="667"/>
      <c r="U105" s="667"/>
    </row>
    <row r="106" spans="4:21" s="23" customFormat="1">
      <c r="D106" s="667" t="s">
        <v>465</v>
      </c>
      <c r="E106" s="667"/>
      <c r="F106" s="667"/>
      <c r="G106" s="667"/>
      <c r="H106" s="667"/>
      <c r="I106" s="667"/>
      <c r="J106" s="667"/>
      <c r="K106" s="667"/>
      <c r="L106" s="667"/>
      <c r="M106" s="667"/>
      <c r="N106" s="64">
        <v>0</v>
      </c>
      <c r="O106" s="64">
        <v>0</v>
      </c>
      <c r="P106" s="14">
        <f t="shared" si="2"/>
        <v>0</v>
      </c>
      <c r="Q106" s="14">
        <f t="shared" si="3"/>
        <v>0</v>
      </c>
      <c r="R106" s="667"/>
      <c r="S106" s="667"/>
      <c r="T106" s="667"/>
      <c r="U106" s="667"/>
    </row>
    <row r="107" spans="4:21" s="23" customFormat="1">
      <c r="D107" s="667" t="s">
        <v>464</v>
      </c>
      <c r="E107" s="667"/>
      <c r="F107" s="667"/>
      <c r="G107" s="667"/>
      <c r="H107" s="667"/>
      <c r="I107" s="667"/>
      <c r="J107" s="667"/>
      <c r="K107" s="667"/>
      <c r="L107" s="667"/>
      <c r="M107" s="667"/>
      <c r="N107" s="64">
        <v>0</v>
      </c>
      <c r="O107" s="64">
        <v>0</v>
      </c>
      <c r="P107" s="14">
        <f t="shared" si="2"/>
        <v>0</v>
      </c>
      <c r="Q107" s="14">
        <f t="shared" si="3"/>
        <v>0</v>
      </c>
      <c r="R107" s="667"/>
      <c r="S107" s="667"/>
      <c r="T107" s="667"/>
      <c r="U107" s="667"/>
    </row>
    <row r="108" spans="4:21" s="23" customFormat="1">
      <c r="D108" s="667" t="s">
        <v>466</v>
      </c>
      <c r="E108" s="667"/>
      <c r="F108" s="667"/>
      <c r="G108" s="667"/>
      <c r="H108" s="667"/>
      <c r="I108" s="667"/>
      <c r="J108" s="667"/>
      <c r="K108" s="667"/>
      <c r="L108" s="667"/>
      <c r="M108" s="667"/>
      <c r="N108" s="64">
        <v>0</v>
      </c>
      <c r="O108" s="64">
        <v>0</v>
      </c>
      <c r="P108" s="14">
        <f t="shared" si="2"/>
        <v>0</v>
      </c>
      <c r="Q108" s="14">
        <f t="shared" si="3"/>
        <v>0</v>
      </c>
      <c r="R108" s="667"/>
      <c r="S108" s="667"/>
      <c r="T108" s="667"/>
      <c r="U108" s="667"/>
    </row>
    <row r="109" spans="4:21" s="23" customFormat="1">
      <c r="D109" s="667" t="s">
        <v>467</v>
      </c>
      <c r="E109" s="667"/>
      <c r="F109" s="667"/>
      <c r="G109" s="667"/>
      <c r="H109" s="667"/>
      <c r="I109" s="667"/>
      <c r="J109" s="667"/>
      <c r="K109" s="667"/>
      <c r="L109" s="667"/>
      <c r="M109" s="667"/>
      <c r="N109" s="64">
        <v>0</v>
      </c>
      <c r="O109" s="64">
        <v>0</v>
      </c>
      <c r="P109" s="14">
        <f t="shared" si="2"/>
        <v>0</v>
      </c>
      <c r="Q109" s="14">
        <f t="shared" si="3"/>
        <v>0</v>
      </c>
      <c r="R109" s="667"/>
      <c r="S109" s="667"/>
      <c r="T109" s="667"/>
      <c r="U109" s="667"/>
    </row>
    <row r="110" spans="4:21" s="23" customFormat="1">
      <c r="D110" s="667" t="s">
        <v>468</v>
      </c>
      <c r="E110" s="667"/>
      <c r="F110" s="667"/>
      <c r="G110" s="667"/>
      <c r="H110" s="667"/>
      <c r="I110" s="667"/>
      <c r="J110" s="667"/>
      <c r="K110" s="667"/>
      <c r="L110" s="667"/>
      <c r="M110" s="667"/>
      <c r="N110" s="64">
        <v>0</v>
      </c>
      <c r="O110" s="64">
        <v>0</v>
      </c>
      <c r="P110" s="14">
        <f t="shared" si="2"/>
        <v>0</v>
      </c>
      <c r="Q110" s="14">
        <f t="shared" si="3"/>
        <v>0</v>
      </c>
      <c r="R110" s="667"/>
      <c r="S110" s="667"/>
      <c r="T110" s="667"/>
      <c r="U110" s="667"/>
    </row>
    <row r="111" spans="4:21" s="23" customFormat="1">
      <c r="D111" s="667" t="s">
        <v>469</v>
      </c>
      <c r="E111" s="667"/>
      <c r="F111" s="667"/>
      <c r="G111" s="667"/>
      <c r="H111" s="667"/>
      <c r="I111" s="667"/>
      <c r="J111" s="667"/>
      <c r="K111" s="667"/>
      <c r="L111" s="667"/>
      <c r="M111" s="667"/>
      <c r="N111" s="64">
        <v>0</v>
      </c>
      <c r="O111" s="64">
        <v>0</v>
      </c>
      <c r="P111" s="14">
        <f t="shared" si="2"/>
        <v>0</v>
      </c>
      <c r="Q111" s="14">
        <f t="shared" si="3"/>
        <v>0</v>
      </c>
      <c r="R111" s="667"/>
      <c r="S111" s="667"/>
      <c r="T111" s="667"/>
      <c r="U111" s="667"/>
    </row>
    <row r="112" spans="4:21" s="23" customFormat="1">
      <c r="D112" s="667" t="s">
        <v>470</v>
      </c>
      <c r="E112" s="667"/>
      <c r="F112" s="667"/>
      <c r="G112" s="667"/>
      <c r="H112" s="667"/>
      <c r="I112" s="667"/>
      <c r="J112" s="667"/>
      <c r="K112" s="667"/>
      <c r="L112" s="667"/>
      <c r="M112" s="667"/>
      <c r="N112" s="64">
        <v>0</v>
      </c>
      <c r="O112" s="64">
        <v>0</v>
      </c>
      <c r="P112" s="14">
        <f t="shared" si="2"/>
        <v>0</v>
      </c>
      <c r="Q112" s="14">
        <f t="shared" si="3"/>
        <v>0</v>
      </c>
      <c r="R112" s="667"/>
      <c r="S112" s="667"/>
      <c r="T112" s="667"/>
      <c r="U112" s="667"/>
    </row>
    <row r="113" spans="4:21" s="23" customFormat="1">
      <c r="D113" s="667" t="s">
        <v>471</v>
      </c>
      <c r="E113" s="667"/>
      <c r="F113" s="667"/>
      <c r="G113" s="667"/>
      <c r="H113" s="667"/>
      <c r="I113" s="667"/>
      <c r="J113" s="667"/>
      <c r="K113" s="667"/>
      <c r="L113" s="667"/>
      <c r="M113" s="667"/>
      <c r="N113" s="64">
        <v>0</v>
      </c>
      <c r="O113" s="64">
        <v>0</v>
      </c>
      <c r="P113" s="14">
        <f t="shared" si="2"/>
        <v>0</v>
      </c>
      <c r="Q113" s="14">
        <f t="shared" si="3"/>
        <v>0</v>
      </c>
      <c r="R113" s="667"/>
      <c r="S113" s="667"/>
      <c r="T113" s="667"/>
      <c r="U113" s="667"/>
    </row>
    <row r="114" spans="4:21" s="23" customFormat="1"/>
    <row r="115" spans="4:21" s="23" customFormat="1" ht="15.6">
      <c r="D115" s="783" t="str">
        <f>FLU_LU!$D$280</f>
        <v>Supplies &amp; Materials</v>
      </c>
      <c r="E115" s="783"/>
      <c r="F115" s="783"/>
      <c r="G115" s="783"/>
    </row>
    <row r="116" spans="4:21" s="23" customFormat="1"/>
    <row r="117" spans="4:21" s="23" customFormat="1" ht="57.6">
      <c r="D117" s="785" t="str">
        <f>"Recurrent Cost Item - "&amp;D115</f>
        <v>Recurrent Cost Item - Supplies &amp; Materials</v>
      </c>
      <c r="E117" s="785"/>
      <c r="F117" s="785"/>
      <c r="G117" s="785"/>
      <c r="M117" s="72" t="s">
        <v>62</v>
      </c>
      <c r="N117" s="28" t="str">
        <f>"Financial Cost per Single Unit ("&amp;FLU_LU!$D$79&amp;")"</f>
        <v>Financial Cost per Single Unit (GOZ)</v>
      </c>
      <c r="O117" s="28" t="str">
        <f>"Economic Cost per Single Unit ("&amp;FLU_LU!$D$79&amp;")"</f>
        <v>Economic Cost per Single Unit (GOZ)</v>
      </c>
      <c r="P117" s="28" t="str">
        <f>"Financial Cost per Single Unit ("&amp;FLU_LU!$D$78&amp;")"</f>
        <v>Financial Cost per Single Unit (USD)</v>
      </c>
      <c r="Q117" s="28" t="str">
        <f>"Economic Cost per Single Unit ("&amp;FLU_LU!$D$78&amp;")"</f>
        <v>Economic Cost per Single Unit (USD)</v>
      </c>
      <c r="R117" s="764" t="s">
        <v>64</v>
      </c>
      <c r="S117" s="764"/>
      <c r="T117" s="764"/>
      <c r="U117" s="764"/>
    </row>
    <row r="118" spans="4:21" s="23" customFormat="1">
      <c r="D118" s="667" t="s">
        <v>219</v>
      </c>
      <c r="E118" s="667"/>
      <c r="F118" s="667"/>
      <c r="G118" s="667"/>
      <c r="H118" s="667"/>
      <c r="I118" s="667"/>
      <c r="J118" s="667"/>
      <c r="K118" s="667"/>
      <c r="L118" s="667"/>
      <c r="M118" s="151"/>
      <c r="N118" s="117"/>
      <c r="O118" s="117"/>
      <c r="P118" s="14">
        <f t="shared" ref="P118:P142" si="4">N118/$J$21</f>
        <v>0</v>
      </c>
      <c r="Q118" s="14">
        <f t="shared" ref="Q118:Q142" si="5">O118/$J$21</f>
        <v>0</v>
      </c>
      <c r="R118" s="667"/>
      <c r="S118" s="667"/>
      <c r="T118" s="667"/>
      <c r="U118" s="667"/>
    </row>
    <row r="119" spans="4:21" s="23" customFormat="1">
      <c r="D119" s="667" t="s">
        <v>422</v>
      </c>
      <c r="E119" s="667"/>
      <c r="F119" s="667"/>
      <c r="G119" s="667"/>
      <c r="H119" s="667"/>
      <c r="I119" s="667"/>
      <c r="J119" s="667"/>
      <c r="K119" s="667"/>
      <c r="L119" s="667"/>
      <c r="M119" s="151"/>
      <c r="N119" s="117">
        <v>1</v>
      </c>
      <c r="O119" s="117"/>
      <c r="P119" s="14">
        <f t="shared" si="4"/>
        <v>6.6666666666666671E-3</v>
      </c>
      <c r="Q119" s="14">
        <f t="shared" si="5"/>
        <v>0</v>
      </c>
      <c r="R119" s="667"/>
      <c r="S119" s="667"/>
      <c r="T119" s="667"/>
      <c r="U119" s="667"/>
    </row>
    <row r="120" spans="4:21" s="23" customFormat="1">
      <c r="D120" s="667" t="s">
        <v>360</v>
      </c>
      <c r="E120" s="667"/>
      <c r="F120" s="667"/>
      <c r="G120" s="667"/>
      <c r="H120" s="667"/>
      <c r="I120" s="667"/>
      <c r="J120" s="667"/>
      <c r="K120" s="667"/>
      <c r="L120" s="667"/>
      <c r="M120" s="151" t="s">
        <v>365</v>
      </c>
      <c r="N120" s="117">
        <v>1</v>
      </c>
      <c r="O120" s="117">
        <v>6</v>
      </c>
      <c r="P120" s="14">
        <f t="shared" si="4"/>
        <v>6.6666666666666671E-3</v>
      </c>
      <c r="Q120" s="14">
        <f t="shared" si="5"/>
        <v>0.04</v>
      </c>
      <c r="R120" s="667"/>
      <c r="S120" s="667"/>
      <c r="T120" s="667"/>
      <c r="U120" s="667"/>
    </row>
    <row r="121" spans="4:21" s="23" customFormat="1">
      <c r="D121" s="667" t="s">
        <v>356</v>
      </c>
      <c r="E121" s="667"/>
      <c r="F121" s="667"/>
      <c r="G121" s="667"/>
      <c r="H121" s="667"/>
      <c r="I121" s="667"/>
      <c r="J121" s="667"/>
      <c r="K121" s="667"/>
      <c r="L121" s="667"/>
      <c r="M121" s="151" t="s">
        <v>365</v>
      </c>
      <c r="N121" s="117">
        <v>7.2</v>
      </c>
      <c r="O121" s="117">
        <v>7.2</v>
      </c>
      <c r="P121" s="14">
        <f t="shared" si="4"/>
        <v>4.8000000000000001E-2</v>
      </c>
      <c r="Q121" s="14">
        <f t="shared" si="5"/>
        <v>4.8000000000000001E-2</v>
      </c>
      <c r="R121" s="667"/>
      <c r="S121" s="667"/>
      <c r="T121" s="667"/>
      <c r="U121" s="667"/>
    </row>
    <row r="122" spans="4:21" s="23" customFormat="1">
      <c r="D122" s="667" t="s">
        <v>363</v>
      </c>
      <c r="E122" s="667"/>
      <c r="F122" s="667"/>
      <c r="G122" s="667"/>
      <c r="H122" s="667"/>
      <c r="I122" s="667"/>
      <c r="J122" s="667"/>
      <c r="K122" s="667"/>
      <c r="L122" s="667"/>
      <c r="M122" s="151" t="s">
        <v>116</v>
      </c>
      <c r="N122" s="117"/>
      <c r="O122" s="117">
        <v>150</v>
      </c>
      <c r="P122" s="14">
        <f t="shared" si="4"/>
        <v>0</v>
      </c>
      <c r="Q122" s="14">
        <f t="shared" si="5"/>
        <v>1</v>
      </c>
      <c r="R122" s="667"/>
      <c r="S122" s="667"/>
      <c r="T122" s="667"/>
      <c r="U122" s="667"/>
    </row>
    <row r="123" spans="4:21" s="23" customFormat="1">
      <c r="D123" s="667" t="s">
        <v>357</v>
      </c>
      <c r="E123" s="667"/>
      <c r="F123" s="667"/>
      <c r="G123" s="667"/>
      <c r="H123" s="667"/>
      <c r="I123" s="667"/>
      <c r="J123" s="667"/>
      <c r="K123" s="667"/>
      <c r="L123" s="667"/>
      <c r="M123" s="151" t="s">
        <v>365</v>
      </c>
      <c r="N123" s="117">
        <v>30</v>
      </c>
      <c r="O123" s="117">
        <v>30.036000000000001</v>
      </c>
      <c r="P123" s="14">
        <f t="shared" si="4"/>
        <v>0.2</v>
      </c>
      <c r="Q123" s="14">
        <f t="shared" si="5"/>
        <v>0.20024</v>
      </c>
      <c r="R123" s="667"/>
      <c r="S123" s="667"/>
      <c r="T123" s="667"/>
      <c r="U123" s="667"/>
    </row>
    <row r="124" spans="4:21" s="23" customFormat="1">
      <c r="D124" s="667" t="s">
        <v>361</v>
      </c>
      <c r="E124" s="667"/>
      <c r="F124" s="667"/>
      <c r="G124" s="667"/>
      <c r="H124" s="667"/>
      <c r="I124" s="667"/>
      <c r="J124" s="667"/>
      <c r="K124" s="667"/>
      <c r="L124" s="667"/>
      <c r="M124" s="151" t="s">
        <v>93</v>
      </c>
      <c r="N124" s="117"/>
      <c r="O124" s="117">
        <v>10</v>
      </c>
      <c r="P124" s="14">
        <f t="shared" si="4"/>
        <v>0</v>
      </c>
      <c r="Q124" s="14">
        <f t="shared" si="5"/>
        <v>6.6666666666666666E-2</v>
      </c>
      <c r="R124" s="667"/>
      <c r="S124" s="667"/>
      <c r="T124" s="667"/>
      <c r="U124" s="667"/>
    </row>
    <row r="125" spans="4:21" s="23" customFormat="1">
      <c r="D125" s="667" t="s">
        <v>367</v>
      </c>
      <c r="E125" s="667"/>
      <c r="F125" s="667"/>
      <c r="G125" s="667"/>
      <c r="H125" s="667"/>
      <c r="I125" s="667"/>
      <c r="J125" s="667"/>
      <c r="K125" s="667"/>
      <c r="L125" s="667"/>
      <c r="M125" s="151" t="s">
        <v>168</v>
      </c>
      <c r="N125" s="117"/>
      <c r="O125" s="117">
        <v>12</v>
      </c>
      <c r="P125" s="14">
        <f t="shared" si="4"/>
        <v>0</v>
      </c>
      <c r="Q125" s="14">
        <f t="shared" si="5"/>
        <v>0.08</v>
      </c>
      <c r="R125" s="667"/>
      <c r="S125" s="667"/>
      <c r="T125" s="667"/>
      <c r="U125" s="667"/>
    </row>
    <row r="126" spans="4:21" s="23" customFormat="1">
      <c r="D126" s="667" t="s">
        <v>362</v>
      </c>
      <c r="E126" s="667"/>
      <c r="F126" s="667"/>
      <c r="G126" s="667"/>
      <c r="H126" s="667"/>
      <c r="I126" s="667"/>
      <c r="J126" s="667"/>
      <c r="K126" s="667"/>
      <c r="L126" s="667"/>
      <c r="M126" s="151" t="s">
        <v>116</v>
      </c>
      <c r="N126" s="117"/>
      <c r="O126" s="117">
        <v>65</v>
      </c>
      <c r="P126" s="14">
        <f t="shared" si="4"/>
        <v>0</v>
      </c>
      <c r="Q126" s="14">
        <f t="shared" si="5"/>
        <v>0.43333333333333335</v>
      </c>
      <c r="R126" s="667"/>
      <c r="S126" s="667"/>
      <c r="T126" s="667"/>
      <c r="U126" s="667"/>
    </row>
    <row r="127" spans="4:21" s="23" customFormat="1">
      <c r="D127" s="667" t="s">
        <v>355</v>
      </c>
      <c r="E127" s="667"/>
      <c r="F127" s="667"/>
      <c r="G127" s="667"/>
      <c r="H127" s="667"/>
      <c r="I127" s="667"/>
      <c r="J127" s="667"/>
      <c r="K127" s="667"/>
      <c r="L127" s="667"/>
      <c r="M127" s="151" t="s">
        <v>364</v>
      </c>
      <c r="N127" s="117">
        <v>0.08</v>
      </c>
      <c r="O127" s="117">
        <v>0.08</v>
      </c>
      <c r="P127" s="14">
        <f t="shared" si="4"/>
        <v>5.3333333333333336E-4</v>
      </c>
      <c r="Q127" s="14">
        <f t="shared" si="5"/>
        <v>5.3333333333333336E-4</v>
      </c>
      <c r="R127" s="667"/>
      <c r="S127" s="667"/>
      <c r="T127" s="667"/>
      <c r="U127" s="667"/>
    </row>
    <row r="128" spans="4:21" s="23" customFormat="1">
      <c r="D128" s="667" t="s">
        <v>359</v>
      </c>
      <c r="E128" s="667"/>
      <c r="F128" s="667"/>
      <c r="G128" s="667"/>
      <c r="H128" s="667"/>
      <c r="I128" s="667"/>
      <c r="J128" s="667"/>
      <c r="K128" s="667"/>
      <c r="L128" s="667"/>
      <c r="M128" s="151" t="s">
        <v>365</v>
      </c>
      <c r="N128" s="117">
        <v>0</v>
      </c>
      <c r="O128" s="117">
        <v>3</v>
      </c>
      <c r="P128" s="14">
        <f t="shared" si="4"/>
        <v>0</v>
      </c>
      <c r="Q128" s="14">
        <f t="shared" si="5"/>
        <v>0.02</v>
      </c>
      <c r="R128" s="667"/>
      <c r="S128" s="667"/>
      <c r="T128" s="667"/>
      <c r="U128" s="667"/>
    </row>
    <row r="129" spans="4:21" s="23" customFormat="1">
      <c r="D129" s="667" t="s">
        <v>358</v>
      </c>
      <c r="E129" s="667"/>
      <c r="F129" s="667"/>
      <c r="G129" s="667"/>
      <c r="H129" s="667"/>
      <c r="I129" s="667"/>
      <c r="J129" s="667"/>
      <c r="K129" s="667"/>
      <c r="L129" s="667"/>
      <c r="M129" s="151" t="s">
        <v>365</v>
      </c>
      <c r="N129" s="117">
        <v>0</v>
      </c>
      <c r="O129" s="117">
        <v>32</v>
      </c>
      <c r="P129" s="14">
        <f t="shared" si="4"/>
        <v>0</v>
      </c>
      <c r="Q129" s="14">
        <f t="shared" si="5"/>
        <v>0.21333333333333335</v>
      </c>
      <c r="R129" s="667"/>
      <c r="S129" s="667"/>
      <c r="T129" s="667"/>
      <c r="U129" s="667"/>
    </row>
    <row r="130" spans="4:21" s="23" customFormat="1">
      <c r="D130" s="667" t="s">
        <v>368</v>
      </c>
      <c r="E130" s="667"/>
      <c r="F130" s="667"/>
      <c r="G130" s="667"/>
      <c r="H130" s="667"/>
      <c r="I130" s="667"/>
      <c r="J130" s="667"/>
      <c r="K130" s="667"/>
      <c r="L130" s="667"/>
      <c r="M130" s="151" t="s">
        <v>93</v>
      </c>
      <c r="N130" s="117">
        <v>0</v>
      </c>
      <c r="O130" s="117">
        <v>10</v>
      </c>
      <c r="P130" s="14">
        <f t="shared" si="4"/>
        <v>0</v>
      </c>
      <c r="Q130" s="14">
        <f t="shared" si="5"/>
        <v>6.6666666666666666E-2</v>
      </c>
      <c r="R130" s="667"/>
      <c r="S130" s="667"/>
      <c r="T130" s="667"/>
      <c r="U130" s="667"/>
    </row>
    <row r="131" spans="4:21" s="23" customFormat="1">
      <c r="D131" s="667" t="s">
        <v>644</v>
      </c>
      <c r="E131" s="667"/>
      <c r="F131" s="667"/>
      <c r="G131" s="667"/>
      <c r="H131" s="667"/>
      <c r="I131" s="667"/>
      <c r="J131" s="667"/>
      <c r="K131" s="667"/>
      <c r="L131" s="667"/>
      <c r="M131" s="151" t="s">
        <v>645</v>
      </c>
      <c r="N131" s="117">
        <v>100</v>
      </c>
      <c r="O131" s="117">
        <v>100</v>
      </c>
      <c r="P131" s="14">
        <f t="shared" si="4"/>
        <v>0.66666666666666663</v>
      </c>
      <c r="Q131" s="14">
        <f t="shared" si="5"/>
        <v>0.66666666666666663</v>
      </c>
      <c r="R131" s="667"/>
      <c r="S131" s="667"/>
      <c r="T131" s="667"/>
      <c r="U131" s="667"/>
    </row>
    <row r="132" spans="4:21" s="23" customFormat="1">
      <c r="D132" s="667"/>
      <c r="E132" s="667"/>
      <c r="F132" s="667"/>
      <c r="G132" s="667"/>
      <c r="H132" s="667"/>
      <c r="I132" s="667"/>
      <c r="J132" s="667"/>
      <c r="K132" s="667"/>
      <c r="L132" s="667"/>
      <c r="M132" s="151"/>
      <c r="N132" s="117">
        <v>0</v>
      </c>
      <c r="O132" s="117">
        <v>0</v>
      </c>
      <c r="P132" s="14">
        <f t="shared" si="4"/>
        <v>0</v>
      </c>
      <c r="Q132" s="14">
        <f t="shared" si="5"/>
        <v>0</v>
      </c>
      <c r="R132" s="667"/>
      <c r="S132" s="667"/>
      <c r="T132" s="667"/>
      <c r="U132" s="667"/>
    </row>
    <row r="133" spans="4:21" s="23" customFormat="1">
      <c r="D133" s="667"/>
      <c r="E133" s="667"/>
      <c r="F133" s="667"/>
      <c r="G133" s="667"/>
      <c r="H133" s="667"/>
      <c r="I133" s="667"/>
      <c r="J133" s="667"/>
      <c r="K133" s="667"/>
      <c r="L133" s="667"/>
      <c r="M133" s="151"/>
      <c r="N133" s="117">
        <v>0</v>
      </c>
      <c r="O133" s="117">
        <v>0</v>
      </c>
      <c r="P133" s="14">
        <f t="shared" si="4"/>
        <v>0</v>
      </c>
      <c r="Q133" s="14">
        <f t="shared" si="5"/>
        <v>0</v>
      </c>
      <c r="R133" s="667"/>
      <c r="S133" s="667"/>
      <c r="T133" s="667"/>
      <c r="U133" s="667"/>
    </row>
    <row r="134" spans="4:21" s="23" customFormat="1">
      <c r="D134" s="667"/>
      <c r="E134" s="667"/>
      <c r="F134" s="667"/>
      <c r="G134" s="667"/>
      <c r="H134" s="667"/>
      <c r="I134" s="667"/>
      <c r="J134" s="667"/>
      <c r="K134" s="667"/>
      <c r="L134" s="667"/>
      <c r="M134" s="151"/>
      <c r="N134" s="117">
        <v>0</v>
      </c>
      <c r="O134" s="117">
        <v>0</v>
      </c>
      <c r="P134" s="14">
        <f t="shared" si="4"/>
        <v>0</v>
      </c>
      <c r="Q134" s="14">
        <f t="shared" si="5"/>
        <v>0</v>
      </c>
      <c r="R134" s="667"/>
      <c r="S134" s="667"/>
      <c r="T134" s="667"/>
      <c r="U134" s="667"/>
    </row>
    <row r="135" spans="4:21" s="23" customFormat="1">
      <c r="D135" s="667"/>
      <c r="E135" s="667"/>
      <c r="F135" s="667"/>
      <c r="G135" s="667"/>
      <c r="H135" s="667"/>
      <c r="I135" s="667"/>
      <c r="J135" s="667"/>
      <c r="K135" s="667"/>
      <c r="L135" s="667"/>
      <c r="M135" s="151"/>
      <c r="N135" s="117">
        <v>0</v>
      </c>
      <c r="O135" s="117">
        <v>0</v>
      </c>
      <c r="P135" s="14">
        <f t="shared" si="4"/>
        <v>0</v>
      </c>
      <c r="Q135" s="14">
        <f t="shared" si="5"/>
        <v>0</v>
      </c>
      <c r="R135" s="667"/>
      <c r="S135" s="667"/>
      <c r="T135" s="667"/>
      <c r="U135" s="667"/>
    </row>
    <row r="136" spans="4:21" s="23" customFormat="1">
      <c r="D136" s="667"/>
      <c r="E136" s="667"/>
      <c r="F136" s="667"/>
      <c r="G136" s="667"/>
      <c r="H136" s="667"/>
      <c r="I136" s="667"/>
      <c r="J136" s="667"/>
      <c r="K136" s="667"/>
      <c r="L136" s="667"/>
      <c r="M136" s="151"/>
      <c r="N136" s="117">
        <v>0</v>
      </c>
      <c r="O136" s="117">
        <v>0</v>
      </c>
      <c r="P136" s="14">
        <f t="shared" si="4"/>
        <v>0</v>
      </c>
      <c r="Q136" s="14">
        <f t="shared" si="5"/>
        <v>0</v>
      </c>
      <c r="R136" s="667"/>
      <c r="S136" s="667"/>
      <c r="T136" s="667"/>
      <c r="U136" s="667"/>
    </row>
    <row r="137" spans="4:21" s="23" customFormat="1">
      <c r="D137" s="667"/>
      <c r="E137" s="667"/>
      <c r="F137" s="667"/>
      <c r="G137" s="667"/>
      <c r="H137" s="667"/>
      <c r="I137" s="667"/>
      <c r="J137" s="667"/>
      <c r="K137" s="667"/>
      <c r="L137" s="667"/>
      <c r="M137" s="151"/>
      <c r="N137" s="117">
        <v>0</v>
      </c>
      <c r="O137" s="117">
        <v>0</v>
      </c>
      <c r="P137" s="14">
        <f t="shared" si="4"/>
        <v>0</v>
      </c>
      <c r="Q137" s="14">
        <f t="shared" si="5"/>
        <v>0</v>
      </c>
      <c r="R137" s="667"/>
      <c r="S137" s="667"/>
      <c r="T137" s="667"/>
      <c r="U137" s="667"/>
    </row>
    <row r="138" spans="4:21" s="23" customFormat="1">
      <c r="D138" s="667"/>
      <c r="E138" s="667"/>
      <c r="F138" s="667"/>
      <c r="G138" s="667"/>
      <c r="H138" s="667"/>
      <c r="I138" s="667"/>
      <c r="J138" s="667"/>
      <c r="K138" s="667"/>
      <c r="L138" s="667"/>
      <c r="M138" s="151"/>
      <c r="N138" s="117">
        <v>0</v>
      </c>
      <c r="O138" s="117">
        <v>0</v>
      </c>
      <c r="P138" s="14">
        <f t="shared" si="4"/>
        <v>0</v>
      </c>
      <c r="Q138" s="14">
        <f t="shared" si="5"/>
        <v>0</v>
      </c>
      <c r="R138" s="667"/>
      <c r="S138" s="667"/>
      <c r="T138" s="667"/>
      <c r="U138" s="667"/>
    </row>
    <row r="139" spans="4:21" s="23" customFormat="1">
      <c r="D139" s="667"/>
      <c r="E139" s="667"/>
      <c r="F139" s="667"/>
      <c r="G139" s="667"/>
      <c r="H139" s="667"/>
      <c r="I139" s="667"/>
      <c r="J139" s="667"/>
      <c r="K139" s="667"/>
      <c r="L139" s="667"/>
      <c r="M139" s="151"/>
      <c r="N139" s="117">
        <v>0</v>
      </c>
      <c r="O139" s="117">
        <v>0</v>
      </c>
      <c r="P139" s="14">
        <f t="shared" si="4"/>
        <v>0</v>
      </c>
      <c r="Q139" s="14">
        <f t="shared" si="5"/>
        <v>0</v>
      </c>
      <c r="R139" s="667"/>
      <c r="S139" s="667"/>
      <c r="T139" s="667"/>
      <c r="U139" s="667"/>
    </row>
    <row r="140" spans="4:21" s="23" customFormat="1">
      <c r="D140" s="667"/>
      <c r="E140" s="667"/>
      <c r="F140" s="667"/>
      <c r="G140" s="667"/>
      <c r="H140" s="667"/>
      <c r="I140" s="667"/>
      <c r="J140" s="667"/>
      <c r="K140" s="667"/>
      <c r="L140" s="667"/>
      <c r="M140" s="151"/>
      <c r="N140" s="117">
        <v>0</v>
      </c>
      <c r="O140" s="117">
        <v>0</v>
      </c>
      <c r="P140" s="14">
        <f t="shared" si="4"/>
        <v>0</v>
      </c>
      <c r="Q140" s="14">
        <f t="shared" si="5"/>
        <v>0</v>
      </c>
      <c r="R140" s="667"/>
      <c r="S140" s="667"/>
      <c r="T140" s="667"/>
      <c r="U140" s="667"/>
    </row>
    <row r="141" spans="4:21" s="23" customFormat="1">
      <c r="D141" s="667"/>
      <c r="E141" s="667"/>
      <c r="F141" s="667"/>
      <c r="G141" s="667"/>
      <c r="H141" s="667"/>
      <c r="I141" s="667"/>
      <c r="J141" s="667"/>
      <c r="K141" s="667"/>
      <c r="L141" s="667"/>
      <c r="M141" s="151"/>
      <c r="N141" s="117">
        <v>0</v>
      </c>
      <c r="O141" s="117">
        <v>0</v>
      </c>
      <c r="P141" s="14">
        <f t="shared" si="4"/>
        <v>0</v>
      </c>
      <c r="Q141" s="14">
        <f t="shared" si="5"/>
        <v>0</v>
      </c>
      <c r="R141" s="667"/>
      <c r="S141" s="667"/>
      <c r="T141" s="667"/>
      <c r="U141" s="667"/>
    </row>
    <row r="142" spans="4:21" s="23" customFormat="1">
      <c r="D142" s="667"/>
      <c r="E142" s="667"/>
      <c r="F142" s="667"/>
      <c r="G142" s="667"/>
      <c r="H142" s="667"/>
      <c r="I142" s="667"/>
      <c r="J142" s="667"/>
      <c r="K142" s="667"/>
      <c r="L142" s="667"/>
      <c r="M142" s="151"/>
      <c r="N142" s="117">
        <v>0</v>
      </c>
      <c r="O142" s="117">
        <v>0</v>
      </c>
      <c r="P142" s="14">
        <f t="shared" si="4"/>
        <v>0</v>
      </c>
      <c r="Q142" s="14">
        <f t="shared" si="5"/>
        <v>0</v>
      </c>
      <c r="R142" s="667"/>
      <c r="S142" s="667"/>
      <c r="T142" s="667"/>
      <c r="U142" s="667"/>
    </row>
    <row r="143" spans="4:21" s="23" customFormat="1"/>
    <row r="144" spans="4:21" s="23" customFormat="1" ht="15.6">
      <c r="D144" s="783" t="str">
        <f>FLU_LU!$D$281</f>
        <v>Other Direct Costs (Recurrent)</v>
      </c>
      <c r="E144" s="783"/>
      <c r="F144" s="783"/>
      <c r="G144" s="783"/>
    </row>
    <row r="145" spans="4:21" s="23" customFormat="1"/>
    <row r="146" spans="4:21" s="23" customFormat="1" ht="57.6">
      <c r="D146" s="782" t="str">
        <f>"Recurrent Cost Item - "&amp;D144</f>
        <v>Recurrent Cost Item - Other Direct Costs (Recurrent)</v>
      </c>
      <c r="E146" s="782"/>
      <c r="F146" s="782"/>
      <c r="G146" s="782"/>
      <c r="M146" s="72" t="s">
        <v>62</v>
      </c>
      <c r="N146" s="28" t="str">
        <f>"Financial Cost per Single Unit ("&amp;FLU_LU!$D$79&amp;")"</f>
        <v>Financial Cost per Single Unit (GOZ)</v>
      </c>
      <c r="O146" s="28" t="str">
        <f>"Economic Cost per Single Unit ("&amp;FLU_LU!$D$79&amp;")"</f>
        <v>Economic Cost per Single Unit (GOZ)</v>
      </c>
      <c r="P146" s="28" t="str">
        <f>"Financial Cost per Single Unit ("&amp;FLU_LU!$D$78&amp;")"</f>
        <v>Financial Cost per Single Unit (USD)</v>
      </c>
      <c r="Q146" s="28" t="str">
        <f>"Economic Cost per Single Unit ("&amp;FLU_LU!$D$78&amp;")"</f>
        <v>Economic Cost per Single Unit (USD)</v>
      </c>
      <c r="R146" s="764" t="s">
        <v>64</v>
      </c>
      <c r="S146" s="764"/>
      <c r="T146" s="764"/>
      <c r="U146" s="764"/>
    </row>
    <row r="147" spans="4:21" s="23" customFormat="1">
      <c r="D147" s="667" t="s">
        <v>219</v>
      </c>
      <c r="E147" s="667"/>
      <c r="F147" s="667"/>
      <c r="G147" s="667"/>
      <c r="H147" s="667"/>
      <c r="I147" s="667"/>
      <c r="J147" s="667"/>
      <c r="K147" s="667"/>
      <c r="L147" s="667"/>
      <c r="M147" s="151"/>
      <c r="N147" s="117"/>
      <c r="O147" s="117"/>
      <c r="P147" s="14">
        <f t="shared" ref="P147:P168" si="6">N147/$J$21</f>
        <v>0</v>
      </c>
      <c r="Q147" s="14">
        <f t="shared" ref="Q147:Q168" si="7">O147/$J$21</f>
        <v>0</v>
      </c>
      <c r="R147" s="667"/>
      <c r="S147" s="667"/>
      <c r="T147" s="667"/>
      <c r="U147" s="667"/>
    </row>
    <row r="148" spans="4:21" s="23" customFormat="1">
      <c r="D148" s="667" t="s">
        <v>366</v>
      </c>
      <c r="E148" s="667"/>
      <c r="F148" s="667"/>
      <c r="G148" s="667"/>
      <c r="H148" s="667"/>
      <c r="I148" s="667"/>
      <c r="J148" s="667"/>
      <c r="K148" s="667"/>
      <c r="L148" s="667"/>
      <c r="M148" s="151" t="s">
        <v>81</v>
      </c>
      <c r="N148" s="117">
        <v>170</v>
      </c>
      <c r="O148" s="117">
        <v>170</v>
      </c>
      <c r="P148" s="14">
        <f t="shared" si="6"/>
        <v>1.1333333333333333</v>
      </c>
      <c r="Q148" s="14">
        <f t="shared" si="7"/>
        <v>1.1333333333333333</v>
      </c>
      <c r="R148" s="667"/>
      <c r="S148" s="667"/>
      <c r="T148" s="667"/>
      <c r="U148" s="667"/>
    </row>
    <row r="149" spans="4:21" s="23" customFormat="1">
      <c r="D149" s="667"/>
      <c r="E149" s="667"/>
      <c r="F149" s="667"/>
      <c r="G149" s="667"/>
      <c r="H149" s="667"/>
      <c r="I149" s="667"/>
      <c r="J149" s="667"/>
      <c r="K149" s="667"/>
      <c r="L149" s="667"/>
      <c r="M149" s="151"/>
      <c r="N149" s="117"/>
      <c r="O149" s="117"/>
      <c r="P149" s="14">
        <f t="shared" si="6"/>
        <v>0</v>
      </c>
      <c r="Q149" s="14">
        <f t="shared" si="7"/>
        <v>0</v>
      </c>
      <c r="R149" s="667"/>
      <c r="S149" s="667"/>
      <c r="T149" s="667"/>
      <c r="U149" s="667"/>
    </row>
    <row r="150" spans="4:21" s="23" customFormat="1">
      <c r="D150" s="667"/>
      <c r="E150" s="667"/>
      <c r="F150" s="667"/>
      <c r="G150" s="667"/>
      <c r="H150" s="667"/>
      <c r="I150" s="667"/>
      <c r="J150" s="667"/>
      <c r="K150" s="667"/>
      <c r="L150" s="667"/>
      <c r="M150" s="151"/>
      <c r="N150" s="117"/>
      <c r="O150" s="117"/>
      <c r="P150" s="14">
        <f t="shared" si="6"/>
        <v>0</v>
      </c>
      <c r="Q150" s="14">
        <f t="shared" si="7"/>
        <v>0</v>
      </c>
      <c r="R150" s="667"/>
      <c r="S150" s="667"/>
      <c r="T150" s="667"/>
      <c r="U150" s="667"/>
    </row>
    <row r="151" spans="4:21" s="23" customFormat="1">
      <c r="D151" s="667"/>
      <c r="E151" s="667"/>
      <c r="F151" s="667"/>
      <c r="G151" s="667"/>
      <c r="H151" s="667"/>
      <c r="I151" s="667"/>
      <c r="J151" s="667"/>
      <c r="K151" s="667"/>
      <c r="L151" s="667"/>
      <c r="M151" s="151"/>
      <c r="N151" s="117"/>
      <c r="O151" s="117"/>
      <c r="P151" s="14">
        <f t="shared" si="6"/>
        <v>0</v>
      </c>
      <c r="Q151" s="14">
        <f t="shared" si="7"/>
        <v>0</v>
      </c>
      <c r="R151" s="667"/>
      <c r="S151" s="667"/>
      <c r="T151" s="667"/>
      <c r="U151" s="667"/>
    </row>
    <row r="152" spans="4:21" s="23" customFormat="1">
      <c r="D152" s="667"/>
      <c r="E152" s="667"/>
      <c r="F152" s="667"/>
      <c r="G152" s="667"/>
      <c r="H152" s="667"/>
      <c r="I152" s="667"/>
      <c r="J152" s="667"/>
      <c r="K152" s="667"/>
      <c r="L152" s="667"/>
      <c r="M152" s="151"/>
      <c r="N152" s="117"/>
      <c r="O152" s="117"/>
      <c r="P152" s="14">
        <f t="shared" si="6"/>
        <v>0</v>
      </c>
      <c r="Q152" s="14">
        <f t="shared" si="7"/>
        <v>0</v>
      </c>
      <c r="R152" s="667"/>
      <c r="S152" s="667"/>
      <c r="T152" s="667"/>
      <c r="U152" s="667"/>
    </row>
    <row r="153" spans="4:21" s="23" customFormat="1">
      <c r="D153" s="667"/>
      <c r="E153" s="667"/>
      <c r="F153" s="667"/>
      <c r="G153" s="667"/>
      <c r="H153" s="667"/>
      <c r="I153" s="667"/>
      <c r="J153" s="667"/>
      <c r="K153" s="667"/>
      <c r="L153" s="667"/>
      <c r="M153" s="151"/>
      <c r="N153" s="117"/>
      <c r="O153" s="117"/>
      <c r="P153" s="14">
        <f t="shared" si="6"/>
        <v>0</v>
      </c>
      <c r="Q153" s="14">
        <f t="shared" si="7"/>
        <v>0</v>
      </c>
      <c r="R153" s="667"/>
      <c r="S153" s="667"/>
      <c r="T153" s="667"/>
      <c r="U153" s="667"/>
    </row>
    <row r="154" spans="4:21" s="23" customFormat="1">
      <c r="D154" s="667"/>
      <c r="E154" s="667"/>
      <c r="F154" s="667"/>
      <c r="G154" s="667"/>
      <c r="H154" s="667"/>
      <c r="I154" s="667"/>
      <c r="J154" s="667"/>
      <c r="K154" s="667"/>
      <c r="L154" s="667"/>
      <c r="M154" s="151"/>
      <c r="N154" s="117"/>
      <c r="O154" s="117"/>
      <c r="P154" s="14">
        <f t="shared" si="6"/>
        <v>0</v>
      </c>
      <c r="Q154" s="14">
        <f t="shared" si="7"/>
        <v>0</v>
      </c>
      <c r="R154" s="667"/>
      <c r="S154" s="667"/>
      <c r="T154" s="667"/>
      <c r="U154" s="667"/>
    </row>
    <row r="155" spans="4:21" s="23" customFormat="1">
      <c r="D155" s="667"/>
      <c r="E155" s="667"/>
      <c r="F155" s="667"/>
      <c r="G155" s="667"/>
      <c r="H155" s="667"/>
      <c r="I155" s="667"/>
      <c r="J155" s="667"/>
      <c r="K155" s="667"/>
      <c r="L155" s="667"/>
      <c r="M155" s="151"/>
      <c r="N155" s="117"/>
      <c r="O155" s="117"/>
      <c r="P155" s="14">
        <f t="shared" si="6"/>
        <v>0</v>
      </c>
      <c r="Q155" s="14">
        <f t="shared" si="7"/>
        <v>0</v>
      </c>
      <c r="R155" s="667"/>
      <c r="S155" s="667"/>
      <c r="T155" s="667"/>
      <c r="U155" s="667"/>
    </row>
    <row r="156" spans="4:21" s="23" customFormat="1">
      <c r="D156" s="667"/>
      <c r="E156" s="667"/>
      <c r="F156" s="667"/>
      <c r="G156" s="667"/>
      <c r="H156" s="667"/>
      <c r="I156" s="667"/>
      <c r="J156" s="667"/>
      <c r="K156" s="667"/>
      <c r="L156" s="667"/>
      <c r="M156" s="151"/>
      <c r="N156" s="117"/>
      <c r="O156" s="117"/>
      <c r="P156" s="14">
        <f t="shared" si="6"/>
        <v>0</v>
      </c>
      <c r="Q156" s="14">
        <f t="shared" si="7"/>
        <v>0</v>
      </c>
      <c r="R156" s="667"/>
      <c r="S156" s="667"/>
      <c r="T156" s="667"/>
      <c r="U156" s="667"/>
    </row>
    <row r="157" spans="4:21" s="23" customFormat="1">
      <c r="D157" s="667"/>
      <c r="E157" s="667"/>
      <c r="F157" s="667"/>
      <c r="G157" s="667"/>
      <c r="H157" s="667"/>
      <c r="I157" s="667"/>
      <c r="J157" s="667"/>
      <c r="K157" s="667"/>
      <c r="L157" s="667"/>
      <c r="M157" s="151"/>
      <c r="N157" s="117"/>
      <c r="O157" s="117"/>
      <c r="P157" s="14">
        <f t="shared" si="6"/>
        <v>0</v>
      </c>
      <c r="Q157" s="14">
        <f t="shared" si="7"/>
        <v>0</v>
      </c>
      <c r="R157" s="667"/>
      <c r="S157" s="667"/>
      <c r="T157" s="667"/>
      <c r="U157" s="667"/>
    </row>
    <row r="158" spans="4:21" s="23" customFormat="1">
      <c r="D158" s="667"/>
      <c r="E158" s="667"/>
      <c r="F158" s="667"/>
      <c r="G158" s="667"/>
      <c r="H158" s="667"/>
      <c r="I158" s="667"/>
      <c r="J158" s="667"/>
      <c r="K158" s="667"/>
      <c r="L158" s="667"/>
      <c r="M158" s="151"/>
      <c r="N158" s="117"/>
      <c r="O158" s="117"/>
      <c r="P158" s="14">
        <f t="shared" si="6"/>
        <v>0</v>
      </c>
      <c r="Q158" s="14">
        <f t="shared" si="7"/>
        <v>0</v>
      </c>
      <c r="R158" s="667"/>
      <c r="S158" s="667"/>
      <c r="T158" s="667"/>
      <c r="U158" s="667"/>
    </row>
    <row r="159" spans="4:21" s="23" customFormat="1">
      <c r="D159" s="667"/>
      <c r="E159" s="667"/>
      <c r="F159" s="667"/>
      <c r="G159" s="667"/>
      <c r="H159" s="667"/>
      <c r="I159" s="667"/>
      <c r="J159" s="667"/>
      <c r="K159" s="667"/>
      <c r="L159" s="667"/>
      <c r="M159" s="151"/>
      <c r="N159" s="117"/>
      <c r="O159" s="117"/>
      <c r="P159" s="14">
        <f t="shared" si="6"/>
        <v>0</v>
      </c>
      <c r="Q159" s="14">
        <f t="shared" si="7"/>
        <v>0</v>
      </c>
      <c r="R159" s="667"/>
      <c r="S159" s="667"/>
      <c r="T159" s="667"/>
      <c r="U159" s="667"/>
    </row>
    <row r="160" spans="4:21" s="23" customFormat="1">
      <c r="D160" s="667"/>
      <c r="E160" s="667"/>
      <c r="F160" s="667"/>
      <c r="G160" s="667"/>
      <c r="H160" s="667"/>
      <c r="I160" s="667"/>
      <c r="J160" s="667"/>
      <c r="K160" s="667"/>
      <c r="L160" s="667"/>
      <c r="M160" s="151"/>
      <c r="N160" s="117"/>
      <c r="O160" s="117"/>
      <c r="P160" s="14">
        <f t="shared" si="6"/>
        <v>0</v>
      </c>
      <c r="Q160" s="14">
        <f t="shared" si="7"/>
        <v>0</v>
      </c>
      <c r="R160" s="667"/>
      <c r="S160" s="667"/>
      <c r="T160" s="667"/>
      <c r="U160" s="667"/>
    </row>
    <row r="161" spans="2:21" s="23" customFormat="1">
      <c r="D161" s="667"/>
      <c r="E161" s="667"/>
      <c r="F161" s="667"/>
      <c r="G161" s="667"/>
      <c r="H161" s="667"/>
      <c r="I161" s="667"/>
      <c r="J161" s="667"/>
      <c r="K161" s="667"/>
      <c r="L161" s="667"/>
      <c r="M161" s="151"/>
      <c r="N161" s="117"/>
      <c r="O161" s="117"/>
      <c r="P161" s="14">
        <f t="shared" si="6"/>
        <v>0</v>
      </c>
      <c r="Q161" s="14">
        <f t="shared" si="7"/>
        <v>0</v>
      </c>
      <c r="R161" s="667"/>
      <c r="S161" s="667"/>
      <c r="T161" s="667"/>
      <c r="U161" s="667"/>
    </row>
    <row r="162" spans="2:21" s="23" customFormat="1">
      <c r="D162" s="667"/>
      <c r="E162" s="667"/>
      <c r="F162" s="667"/>
      <c r="G162" s="667"/>
      <c r="H162" s="667"/>
      <c r="I162" s="667"/>
      <c r="J162" s="667"/>
      <c r="K162" s="667"/>
      <c r="L162" s="667"/>
      <c r="M162" s="151"/>
      <c r="N162" s="117"/>
      <c r="O162" s="117"/>
      <c r="P162" s="14">
        <f t="shared" si="6"/>
        <v>0</v>
      </c>
      <c r="Q162" s="14">
        <f t="shared" si="7"/>
        <v>0</v>
      </c>
      <c r="R162" s="667"/>
      <c r="S162" s="667"/>
      <c r="T162" s="667"/>
      <c r="U162" s="667"/>
    </row>
    <row r="163" spans="2:21" s="23" customFormat="1">
      <c r="D163" s="667"/>
      <c r="E163" s="667"/>
      <c r="F163" s="667"/>
      <c r="G163" s="667"/>
      <c r="H163" s="667"/>
      <c r="I163" s="667"/>
      <c r="J163" s="667"/>
      <c r="K163" s="667"/>
      <c r="L163" s="667"/>
      <c r="M163" s="151"/>
      <c r="N163" s="117"/>
      <c r="O163" s="117"/>
      <c r="P163" s="14">
        <f t="shared" si="6"/>
        <v>0</v>
      </c>
      <c r="Q163" s="14">
        <f t="shared" si="7"/>
        <v>0</v>
      </c>
      <c r="R163" s="667"/>
      <c r="S163" s="667"/>
      <c r="T163" s="667"/>
      <c r="U163" s="667"/>
    </row>
    <row r="164" spans="2:21" s="23" customFormat="1">
      <c r="D164" s="667"/>
      <c r="E164" s="667"/>
      <c r="F164" s="667"/>
      <c r="G164" s="667"/>
      <c r="H164" s="667"/>
      <c r="I164" s="667"/>
      <c r="J164" s="667"/>
      <c r="K164" s="667"/>
      <c r="L164" s="667"/>
      <c r="M164" s="151"/>
      <c r="N164" s="117"/>
      <c r="O164" s="117"/>
      <c r="P164" s="14">
        <f t="shared" si="6"/>
        <v>0</v>
      </c>
      <c r="Q164" s="14">
        <f t="shared" si="7"/>
        <v>0</v>
      </c>
      <c r="R164" s="667"/>
      <c r="S164" s="667"/>
      <c r="T164" s="667"/>
      <c r="U164" s="667"/>
    </row>
    <row r="165" spans="2:21" s="23" customFormat="1">
      <c r="D165" s="667"/>
      <c r="E165" s="667"/>
      <c r="F165" s="667"/>
      <c r="G165" s="667"/>
      <c r="H165" s="667"/>
      <c r="I165" s="667"/>
      <c r="J165" s="667"/>
      <c r="K165" s="667"/>
      <c r="L165" s="667"/>
      <c r="M165" s="151"/>
      <c r="N165" s="117"/>
      <c r="O165" s="117"/>
      <c r="P165" s="14">
        <f t="shared" si="6"/>
        <v>0</v>
      </c>
      <c r="Q165" s="14">
        <f t="shared" si="7"/>
        <v>0</v>
      </c>
      <c r="R165" s="667"/>
      <c r="S165" s="667"/>
      <c r="T165" s="667"/>
      <c r="U165" s="667"/>
    </row>
    <row r="166" spans="2:21" s="23" customFormat="1">
      <c r="D166" s="667"/>
      <c r="E166" s="667"/>
      <c r="F166" s="667"/>
      <c r="G166" s="667"/>
      <c r="H166" s="667"/>
      <c r="I166" s="667"/>
      <c r="J166" s="667"/>
      <c r="K166" s="667"/>
      <c r="L166" s="667"/>
      <c r="M166" s="151"/>
      <c r="N166" s="117"/>
      <c r="O166" s="117"/>
      <c r="P166" s="14">
        <f t="shared" si="6"/>
        <v>0</v>
      </c>
      <c r="Q166" s="14">
        <f t="shared" si="7"/>
        <v>0</v>
      </c>
      <c r="R166" s="667"/>
      <c r="S166" s="667"/>
      <c r="T166" s="667"/>
      <c r="U166" s="667"/>
    </row>
    <row r="167" spans="2:21" s="23" customFormat="1">
      <c r="D167" s="667"/>
      <c r="E167" s="667"/>
      <c r="F167" s="667"/>
      <c r="G167" s="667"/>
      <c r="H167" s="667"/>
      <c r="I167" s="667"/>
      <c r="J167" s="667"/>
      <c r="K167" s="667"/>
      <c r="L167" s="667"/>
      <c r="M167" s="151"/>
      <c r="N167" s="117"/>
      <c r="O167" s="117"/>
      <c r="P167" s="14">
        <f t="shared" si="6"/>
        <v>0</v>
      </c>
      <c r="Q167" s="14">
        <f t="shared" si="7"/>
        <v>0</v>
      </c>
      <c r="R167" s="667"/>
      <c r="S167" s="667"/>
      <c r="T167" s="667"/>
      <c r="U167" s="667"/>
    </row>
    <row r="168" spans="2:21" s="23" customFormat="1">
      <c r="D168" s="667"/>
      <c r="E168" s="667"/>
      <c r="F168" s="667"/>
      <c r="G168" s="667"/>
      <c r="H168" s="667"/>
      <c r="I168" s="667"/>
      <c r="J168" s="667"/>
      <c r="K168" s="667"/>
      <c r="L168" s="667"/>
      <c r="M168" s="151"/>
      <c r="N168" s="117"/>
      <c r="O168" s="117"/>
      <c r="P168" s="14">
        <f t="shared" si="6"/>
        <v>0</v>
      </c>
      <c r="Q168" s="14">
        <f t="shared" si="7"/>
        <v>0</v>
      </c>
      <c r="R168" s="667"/>
      <c r="S168" s="667"/>
      <c r="T168" s="667"/>
      <c r="U168" s="667"/>
    </row>
    <row r="169" spans="2:21" s="23" customFormat="1"/>
    <row r="170" spans="2:21" s="23" customFormat="1" ht="15" thickBot="1"/>
    <row r="171" spans="2:21" s="23" customFormat="1" ht="18.600000000000001" thickTop="1" thickBot="1">
      <c r="B171" s="146" t="s">
        <v>194</v>
      </c>
      <c r="C171" s="15" t="s">
        <v>288</v>
      </c>
    </row>
    <row r="172" spans="2:21" s="23" customFormat="1" ht="15" thickTop="1"/>
    <row r="173" spans="2:21" s="23" customFormat="1" ht="15.6">
      <c r="D173" s="111" t="s">
        <v>136</v>
      </c>
    </row>
    <row r="174" spans="2:21" s="23" customFormat="1"/>
    <row r="175" spans="2:21" s="23" customFormat="1" ht="15.6">
      <c r="D175" s="783" t="str">
        <f>FLU_LU!$D$286</f>
        <v>Vehicles</v>
      </c>
      <c r="E175" s="783"/>
      <c r="F175" s="783"/>
      <c r="G175" s="783"/>
    </row>
    <row r="176" spans="2:21" s="23" customFormat="1"/>
    <row r="177" spans="4:26" s="23" customFormat="1" ht="86.4">
      <c r="D177" s="784" t="str">
        <f>D175&amp;" -Capital Cost Items"</f>
        <v>Vehicles -Capital Cost Items</v>
      </c>
      <c r="E177" s="784"/>
      <c r="F177" s="784"/>
      <c r="G177" s="784"/>
      <c r="H177" s="72" t="s">
        <v>61</v>
      </c>
      <c r="I177" s="730" t="s">
        <v>472</v>
      </c>
      <c r="J177" s="730"/>
      <c r="K177" s="730"/>
      <c r="L177" s="28" t="str">
        <f>"Financial Price per Unit  in "&amp;TS_First_Fin_Yr</f>
        <v>Financial Price per Unit  in 2018</v>
      </c>
      <c r="M177" s="28" t="str">
        <f>" Economic Price per Unit  in "&amp;TS_First_Fin_Yr</f>
        <v xml:space="preserve"> Economic Price per Unit  in 2018</v>
      </c>
      <c r="N177" s="72" t="s">
        <v>105</v>
      </c>
      <c r="O177" s="28" t="str">
        <f>"Financial Price per Single Unit ("&amp;FLU_LU!$D$79&amp;")"</f>
        <v>Financial Price per Single Unit (GOZ)</v>
      </c>
      <c r="P177" s="28" t="str">
        <f>"Economic Price per Single Unit ("&amp;FLU_LU!$D$79&amp;")"</f>
        <v>Economic Price per Single Unit (GOZ)</v>
      </c>
      <c r="Q177" s="28" t="str">
        <f>"Financial Price per Single Unit ("&amp;FLU_LU!$D$78&amp;")"</f>
        <v>Financial Price per Single Unit (USD)</v>
      </c>
      <c r="R177" s="28" t="str">
        <f>"Economic Price per Single Unit ("&amp;FLU_LU!$D$78&amp;")"</f>
        <v>Economic Price per Single Unit (USD)</v>
      </c>
      <c r="S177" s="28" t="str">
        <f>"ANNUALIZED Financial  Price per Single Unit in "&amp;TS_First_Fin_Yr&amp;" ("&amp;FLU_LU!$D$79&amp;")"</f>
        <v>ANNUALIZED Financial  Price per Single Unit in 2018 (GOZ)</v>
      </c>
      <c r="T177" s="28" t="str">
        <f>"ANNUALIZED Economic  Price per Single Unit in "&amp;TS_First_Fin_Yr&amp;" ("&amp;FLU_LU!$D$79&amp;")"</f>
        <v>ANNUALIZED Economic  Price per Single Unit in 2018 (GOZ)</v>
      </c>
      <c r="U177" s="28" t="str">
        <f>"ANNUALIZED Financial  Price per Single Unit in "&amp;TS_First_Fin_Yr&amp;" ("&amp;FLU_LU!$D$78&amp;")"</f>
        <v>ANNUALIZED Financial  Price per Single Unit in 2018 (USD)</v>
      </c>
      <c r="V177" s="28" t="str">
        <f>"ANNUALIZED Economic  Price per Single Unit in "&amp;TS_First_Fin_Yr&amp;" ("&amp;FLU_LU!$D$78&amp;")"</f>
        <v>ANNUALIZED Economic  Price per Single Unit in 2018 (USD)</v>
      </c>
      <c r="W177" s="764" t="s">
        <v>64</v>
      </c>
      <c r="X177" s="764"/>
      <c r="Y177" s="764"/>
      <c r="Z177" s="764"/>
    </row>
    <row r="178" spans="4:26" s="23" customFormat="1">
      <c r="D178" s="667" t="s">
        <v>219</v>
      </c>
      <c r="E178" s="667"/>
      <c r="F178" s="667"/>
      <c r="G178" s="667"/>
      <c r="H178" s="31">
        <v>1</v>
      </c>
      <c r="I178" s="667"/>
      <c r="J178" s="667"/>
      <c r="K178" s="667"/>
      <c r="L178" s="123"/>
      <c r="M178" s="64"/>
      <c r="N178" s="122"/>
      <c r="O178" s="175">
        <f>IFERROR(IF(DD_FLU_CAP_GROUPA_1=1,(L178*$J$21),L178),0)</f>
        <v>0</v>
      </c>
      <c r="P178" s="167">
        <f>IFERROR(IF(DD_FLU_CAP_GROUPA_1=1,(M178*$J$21),M178),0)</f>
        <v>0</v>
      </c>
      <c r="Q178" s="369">
        <f>IFERROR(IF(DD_FLU_CAP_GROUPA_1=2,(L178/$J$21),L178),0)</f>
        <v>0</v>
      </c>
      <c r="R178" s="369">
        <f>IFERROR(IF(DD_FLU_CAP_GROUPA_1=2,(M178/$J$21),M178),0)</f>
        <v>0</v>
      </c>
      <c r="S178" s="13">
        <f t="shared" ref="S178:S183" si="8">IFERROR(O178/$N178,0)</f>
        <v>0</v>
      </c>
      <c r="T178" s="13">
        <f t="shared" ref="T178:T183" si="9">IFERROR(P178/(((1+$H$24)^$N178-1)/($H$24*(1+$H$24)^$N178)),0)</f>
        <v>0</v>
      </c>
      <c r="U178" s="14">
        <f t="shared" ref="U178:U183" si="10">IFERROR(Q178/$N178,0)</f>
        <v>0</v>
      </c>
      <c r="V178" s="14">
        <f t="shared" ref="V178:V183" si="11">IFERROR(R178/(((1+$H$24)^$N178-1)/($H$24*(1+$H$24)^$N178)),0)</f>
        <v>0</v>
      </c>
      <c r="W178" s="667"/>
      <c r="X178" s="667"/>
      <c r="Y178" s="667"/>
      <c r="Z178" s="667"/>
    </row>
    <row r="179" spans="4:26" s="23" customFormat="1">
      <c r="D179" s="667" t="s">
        <v>647</v>
      </c>
      <c r="E179" s="667"/>
      <c r="F179" s="667"/>
      <c r="G179" s="667"/>
      <c r="H179" s="31">
        <v>1</v>
      </c>
      <c r="I179" s="667"/>
      <c r="J179" s="667"/>
      <c r="K179" s="667"/>
      <c r="L179" s="123">
        <v>19935.3</v>
      </c>
      <c r="M179" s="64">
        <v>20000</v>
      </c>
      <c r="N179" s="122">
        <v>8</v>
      </c>
      <c r="O179" s="175">
        <f>IFERROR(IF(DD_FLU_CAP_GROUPA_2=1,(L179*$J$21),L179),0)</f>
        <v>2990295</v>
      </c>
      <c r="P179" s="167">
        <f>IFERROR(IF(DD_FLU_CAP_GROUPA_2=1,(M179*$J$21),M179),0)</f>
        <v>3000000</v>
      </c>
      <c r="Q179" s="369">
        <f>IFERROR(IF(DD_FLU_CAP_GROUPA_2=2,(L179/$J$21),L179),0)</f>
        <v>19935.3</v>
      </c>
      <c r="R179" s="369">
        <f>IFERROR(IF(DD_FLU_CAP_GROUPA_2=2,(M179/$J$21),M179),0)</f>
        <v>20000</v>
      </c>
      <c r="S179" s="13">
        <f t="shared" si="8"/>
        <v>373786.875</v>
      </c>
      <c r="T179" s="13">
        <f t="shared" si="9"/>
        <v>427369.16648171778</v>
      </c>
      <c r="U179" s="14">
        <f t="shared" si="10"/>
        <v>2491.9124999999999</v>
      </c>
      <c r="V179" s="14">
        <f t="shared" si="11"/>
        <v>2849.1277765447849</v>
      </c>
      <c r="W179" s="667" t="s">
        <v>281</v>
      </c>
      <c r="X179" s="667"/>
      <c r="Y179" s="667"/>
      <c r="Z179" s="667"/>
    </row>
    <row r="180" spans="4:26" s="23" customFormat="1">
      <c r="D180" s="667" t="s">
        <v>648</v>
      </c>
      <c r="E180" s="667"/>
      <c r="F180" s="667"/>
      <c r="G180" s="667"/>
      <c r="H180" s="31">
        <v>1</v>
      </c>
      <c r="I180" s="667"/>
      <c r="J180" s="667"/>
      <c r="K180" s="667"/>
      <c r="L180" s="123">
        <v>1605</v>
      </c>
      <c r="M180" s="64">
        <v>2000</v>
      </c>
      <c r="N180" s="122">
        <v>5</v>
      </c>
      <c r="O180" s="175">
        <f>IFERROR(IF(DD_FLU_CAP_GROUPA_3=1,(L180*$J$21),L180),0)</f>
        <v>240750</v>
      </c>
      <c r="P180" s="167">
        <f>IFERROR(IF(DD_FLU_CAP_GROUPA_3=1,(M180*$J$21),M180),0)</f>
        <v>300000</v>
      </c>
      <c r="Q180" s="369">
        <f>IFERROR(IF(DD_FLU_CAP_GROUPA_3=2,(L180/$J$21),L180),0)</f>
        <v>1605</v>
      </c>
      <c r="R180" s="369">
        <f>IFERROR(IF(DD_FLU_CAP_GROUPA_3=2,(M180/$J$21),M180),0)</f>
        <v>2000</v>
      </c>
      <c r="S180" s="13">
        <f t="shared" si="8"/>
        <v>48150</v>
      </c>
      <c r="T180" s="13">
        <f t="shared" si="9"/>
        <v>65506.371420172858</v>
      </c>
      <c r="U180" s="14">
        <f t="shared" si="10"/>
        <v>321</v>
      </c>
      <c r="V180" s="14">
        <f t="shared" si="11"/>
        <v>436.70914280115238</v>
      </c>
      <c r="W180" s="667" t="s">
        <v>281</v>
      </c>
      <c r="X180" s="667"/>
      <c r="Y180" s="667"/>
      <c r="Z180" s="667"/>
    </row>
    <row r="181" spans="4:26" s="23" customFormat="1">
      <c r="D181" s="667" t="s">
        <v>134</v>
      </c>
      <c r="E181" s="667"/>
      <c r="F181" s="667"/>
      <c r="G181" s="667"/>
      <c r="H181" s="31">
        <v>1</v>
      </c>
      <c r="I181" s="667"/>
      <c r="J181" s="667"/>
      <c r="K181" s="667"/>
      <c r="L181" s="123">
        <v>0</v>
      </c>
      <c r="M181" s="64">
        <v>0</v>
      </c>
      <c r="N181" s="122">
        <v>0</v>
      </c>
      <c r="O181" s="175">
        <f>IFERROR(IF(DD_FLU_CAP_GROUPA_4=1,(L181*$J$21),L181),0)</f>
        <v>0</v>
      </c>
      <c r="P181" s="167">
        <f>IFERROR(IF(DD_FLU_CAP_GROUPA_4=1,(M181*$J$21),M181),0)</f>
        <v>0</v>
      </c>
      <c r="Q181" s="369">
        <f>IFERROR(IF(DD_FLU_CAP_GROUPA_4=2,(L181/$J$21),L181),0)</f>
        <v>0</v>
      </c>
      <c r="R181" s="369">
        <f>IFERROR(IF(DD_FLU_CAP_GROUPA_4=2,(M181/$J$21),M181),0)</f>
        <v>0</v>
      </c>
      <c r="S181" s="13">
        <f t="shared" si="8"/>
        <v>0</v>
      </c>
      <c r="T181" s="13">
        <f t="shared" si="9"/>
        <v>0</v>
      </c>
      <c r="U181" s="14">
        <f t="shared" si="10"/>
        <v>0</v>
      </c>
      <c r="V181" s="14">
        <f t="shared" si="11"/>
        <v>0</v>
      </c>
      <c r="W181" s="667"/>
      <c r="X181" s="667"/>
      <c r="Y181" s="667"/>
      <c r="Z181" s="667"/>
    </row>
    <row r="182" spans="4:26" s="23" customFormat="1">
      <c r="D182" s="667" t="s">
        <v>135</v>
      </c>
      <c r="E182" s="667"/>
      <c r="F182" s="667"/>
      <c r="G182" s="667"/>
      <c r="H182" s="31">
        <v>1</v>
      </c>
      <c r="I182" s="667"/>
      <c r="J182" s="667"/>
      <c r="K182" s="667"/>
      <c r="L182" s="123">
        <v>0</v>
      </c>
      <c r="M182" s="64">
        <v>0</v>
      </c>
      <c r="N182" s="122">
        <v>0</v>
      </c>
      <c r="O182" s="175">
        <f>IFERROR(IF(DD_FLU_CAP_GROUPA_5=1,(L182*$J$21),L182),0)</f>
        <v>0</v>
      </c>
      <c r="P182" s="167">
        <f>IFERROR(IF(DD_FLU_CAP_GROUPA_5=1,(M182*$J$21),M182),0)</f>
        <v>0</v>
      </c>
      <c r="Q182" s="369">
        <f>IFERROR(IF(DD_FLU_CAP_GROUPA_5=2,(L182/$J$21),L182),0)</f>
        <v>0</v>
      </c>
      <c r="R182" s="369">
        <f>IFERROR(IF(DD_FLU_CAP_GROUPA_5=2,(M182/$J$21),M182),0)</f>
        <v>0</v>
      </c>
      <c r="S182" s="13">
        <f t="shared" si="8"/>
        <v>0</v>
      </c>
      <c r="T182" s="13">
        <f t="shared" si="9"/>
        <v>0</v>
      </c>
      <c r="U182" s="14">
        <f t="shared" si="10"/>
        <v>0</v>
      </c>
      <c r="V182" s="14">
        <f t="shared" si="11"/>
        <v>0</v>
      </c>
      <c r="W182" s="667"/>
      <c r="X182" s="667"/>
      <c r="Y182" s="667"/>
      <c r="Z182" s="667"/>
    </row>
    <row r="183" spans="4:26" s="23" customFormat="1">
      <c r="D183" s="667" t="s">
        <v>162</v>
      </c>
      <c r="E183" s="667"/>
      <c r="F183" s="667"/>
      <c r="G183" s="667"/>
      <c r="H183" s="31">
        <v>1</v>
      </c>
      <c r="I183" s="667"/>
      <c r="J183" s="667"/>
      <c r="K183" s="667"/>
      <c r="L183" s="123">
        <v>0</v>
      </c>
      <c r="M183" s="64">
        <v>0</v>
      </c>
      <c r="N183" s="122">
        <v>0</v>
      </c>
      <c r="O183" s="175">
        <f>IFERROR(IF(DD_FLU_CAP_GROUPA_6=1,(L183*$J$21),L183),0)</f>
        <v>0</v>
      </c>
      <c r="P183" s="167">
        <f>IFERROR(IF(DD_FLU_CAP_GROUPA_6=1,(M183*$J$21),M183),0)</f>
        <v>0</v>
      </c>
      <c r="Q183" s="369">
        <f>IFERROR(IF(DD_FLU_CAP_GROUPA_6=2,(L183/$J$21),L183),0)</f>
        <v>0</v>
      </c>
      <c r="R183" s="369">
        <f>IFERROR(IF(DD_FLU_CAP_GROUPA_6=2,(M183/$J$21),M183),0)</f>
        <v>0</v>
      </c>
      <c r="S183" s="13">
        <f t="shared" si="8"/>
        <v>0</v>
      </c>
      <c r="T183" s="13">
        <f t="shared" si="9"/>
        <v>0</v>
      </c>
      <c r="U183" s="14">
        <f t="shared" si="10"/>
        <v>0</v>
      </c>
      <c r="V183" s="14">
        <f t="shared" si="11"/>
        <v>0</v>
      </c>
      <c r="W183" s="667"/>
      <c r="X183" s="667"/>
      <c r="Y183" s="667"/>
      <c r="Z183" s="667"/>
    </row>
    <row r="184" spans="4:26" s="23" customFormat="1"/>
    <row r="185" spans="4:26" s="23" customFormat="1"/>
    <row r="186" spans="4:26" s="23" customFormat="1" ht="15.6">
      <c r="D186" s="783" t="str">
        <f>FLU_LU!$D$287</f>
        <v>Equipment (not Cold Chain)</v>
      </c>
      <c r="E186" s="783"/>
      <c r="F186" s="783"/>
      <c r="G186" s="783"/>
    </row>
    <row r="187" spans="4:26" s="23" customFormat="1"/>
    <row r="188" spans="4:26" s="23" customFormat="1" ht="15.6">
      <c r="D188" s="111" t="s">
        <v>136</v>
      </c>
    </row>
    <row r="189" spans="4:26" s="23" customFormat="1"/>
    <row r="190" spans="4:26" s="23" customFormat="1" ht="86.4">
      <c r="D190" s="782" t="str">
        <f>D186&amp;" -Capital Cost Items"</f>
        <v>Equipment (not Cold Chain) -Capital Cost Items</v>
      </c>
      <c r="E190" s="782"/>
      <c r="F190" s="782"/>
      <c r="G190" s="782"/>
      <c r="H190" s="72" t="s">
        <v>61</v>
      </c>
      <c r="I190" s="730" t="s">
        <v>472</v>
      </c>
      <c r="J190" s="730"/>
      <c r="K190" s="730"/>
      <c r="L190" s="28" t="str">
        <f>"Financial Unit Price in "&amp;TS_First_Fin_Yr</f>
        <v>Financial Unit Price in 2018</v>
      </c>
      <c r="M190" s="28" t="str">
        <f>" Economic Unit Price  in "&amp;TS_First_Fin_Yr</f>
        <v xml:space="preserve"> Economic Unit Price  in 2018</v>
      </c>
      <c r="N190" s="72" t="s">
        <v>105</v>
      </c>
      <c r="O190" s="28" t="str">
        <f>"Financial Price per Single Unit ("&amp;FLU_LU!$D$79&amp;")"</f>
        <v>Financial Price per Single Unit (GOZ)</v>
      </c>
      <c r="P190" s="28" t="str">
        <f>"Economic Price per Single Unit ("&amp;FLU_LU!$D$79&amp;")"</f>
        <v>Economic Price per Single Unit (GOZ)</v>
      </c>
      <c r="Q190" s="28" t="str">
        <f>"Financial Price per Single Unit ("&amp;FLU_LU!$D$78&amp;")"</f>
        <v>Financial Price per Single Unit (USD)</v>
      </c>
      <c r="R190" s="28" t="str">
        <f>"Economic Price per Single Unit ("&amp;FLU_LU!$D$78&amp;")"</f>
        <v>Economic Price per Single Unit (USD)</v>
      </c>
      <c r="S190" s="28" t="str">
        <f>"ANNUALIZED Financial  Price per Single Unit in "&amp;TS_First_Fin_Yr&amp;" ("&amp;FLU_LU!$D$79&amp;")"</f>
        <v>ANNUALIZED Financial  Price per Single Unit in 2018 (GOZ)</v>
      </c>
      <c r="T190" s="28" t="str">
        <f>"ANNUALIZED Economic  Price per Single Unit in "&amp;TS_First_Fin_Yr&amp;" ("&amp;FLU_LU!$D$79&amp;")"</f>
        <v>ANNUALIZED Economic  Price per Single Unit in 2018 (GOZ)</v>
      </c>
      <c r="U190" s="28" t="str">
        <f>"ANNUALIZED Financial  Price per Single Unit in "&amp;TS_First_Fin_Yr&amp;" ("&amp;FLU_LU!$D$78&amp;")"</f>
        <v>ANNUALIZED Financial  Price per Single Unit in 2018 (USD)</v>
      </c>
      <c r="V190" s="28" t="str">
        <f>"ANNUALIZED Economic  Price per Single Unit in "&amp;TS_First_Fin_Yr&amp;" ("&amp;FLU_LU!$D$78&amp;")"</f>
        <v>ANNUALIZED Economic  Price per Single Unit in 2018 (USD)</v>
      </c>
      <c r="W190" s="764" t="s">
        <v>64</v>
      </c>
      <c r="X190" s="764"/>
      <c r="Y190" s="764"/>
      <c r="Z190" s="764"/>
    </row>
    <row r="191" spans="4:26" s="23" customFormat="1">
      <c r="D191" s="667" t="s">
        <v>219</v>
      </c>
      <c r="E191" s="667"/>
      <c r="F191" s="667"/>
      <c r="G191" s="667"/>
      <c r="H191" s="31">
        <v>1</v>
      </c>
      <c r="I191" s="667"/>
      <c r="J191" s="667"/>
      <c r="K191" s="667"/>
      <c r="L191" s="115"/>
      <c r="M191" s="115"/>
      <c r="N191" s="115"/>
      <c r="O191" s="169">
        <f>IFERROR(IF(DD_FLU_CAP_PRICES_GROUPB_1=1,(L191*$J$21),L191),0)</f>
        <v>0</v>
      </c>
      <c r="P191" s="13">
        <f>IFERROR(IF(DD_FLU_CAP_PRICES_GROUPB_1=1,(M191*$J$21),M191),0)</f>
        <v>0</v>
      </c>
      <c r="Q191" s="14">
        <f>IFERROR(IF(DD_FLU_CAP_PRICES_GROUPB_1=1,L191,(L191/$J$21)),0)</f>
        <v>0</v>
      </c>
      <c r="R191" s="14">
        <f>IFERROR(IF(DD_FLU_CAP_PRICES_GROUPB_1=1,M191,(M191/$J$21)),0)</f>
        <v>0</v>
      </c>
      <c r="S191" s="13">
        <f t="shared" ref="S191:S197" si="12">IFERROR(O191/$N191,0)</f>
        <v>0</v>
      </c>
      <c r="T191" s="13">
        <f t="shared" ref="T191:T197" si="13">IFERROR(P191/(((1+$H$24)^$N191-1)/($H$24*(1+$H$24)^$N191)),0)</f>
        <v>0</v>
      </c>
      <c r="U191" s="14">
        <f t="shared" ref="U191:U197" si="14">IFERROR(Q191/$N191,0)</f>
        <v>0</v>
      </c>
      <c r="V191" s="14">
        <f t="shared" ref="V191:V197" si="15">IFERROR(R191/(((1+$H$24)^$N191-1)/($H$24*(1+$H$24)^$N191)),0)</f>
        <v>0</v>
      </c>
      <c r="W191" s="667"/>
      <c r="X191" s="667"/>
      <c r="Y191" s="667"/>
      <c r="Z191" s="667"/>
    </row>
    <row r="192" spans="4:26" s="23" customFormat="1">
      <c r="D192" s="667" t="s">
        <v>108</v>
      </c>
      <c r="E192" s="667"/>
      <c r="F192" s="667"/>
      <c r="G192" s="667"/>
      <c r="H192" s="31">
        <v>1</v>
      </c>
      <c r="I192" s="667"/>
      <c r="J192" s="667"/>
      <c r="K192" s="667"/>
      <c r="L192" s="115">
        <v>1200</v>
      </c>
      <c r="M192" s="115">
        <v>1200</v>
      </c>
      <c r="N192" s="115">
        <v>5</v>
      </c>
      <c r="O192" s="169">
        <f>IFERROR(IF(DD_FLU_CAP_PRICES_GROUPB_2=1,(L192*$J$21),L192),0)</f>
        <v>180000</v>
      </c>
      <c r="P192" s="13">
        <f>IFERROR(IF(DD_FLU_CAP_PRICES_GROUPB_2=1,(M192*$J$21),M192),0)</f>
        <v>180000</v>
      </c>
      <c r="Q192" s="14">
        <f>IFERROR(IF(DD_FLU_CAP_PRICES_GROUPB_2=1,L192,(L192/$J$21)),0)</f>
        <v>1200</v>
      </c>
      <c r="R192" s="14">
        <f>IFERROR(IF(DD_FLU_CAP_PRICES_GROUPB_2=1,M192,(M192/$J$21)),0)</f>
        <v>1200</v>
      </c>
      <c r="S192" s="13">
        <f t="shared" si="12"/>
        <v>36000</v>
      </c>
      <c r="T192" s="13">
        <f t="shared" si="13"/>
        <v>39303.822852103716</v>
      </c>
      <c r="U192" s="14">
        <f t="shared" si="14"/>
        <v>240</v>
      </c>
      <c r="V192" s="14">
        <f t="shared" si="15"/>
        <v>262.02548568069142</v>
      </c>
      <c r="W192" s="667" t="s">
        <v>281</v>
      </c>
      <c r="X192" s="667"/>
      <c r="Y192" s="667"/>
      <c r="Z192" s="667"/>
    </row>
    <row r="193" spans="4:27" s="23" customFormat="1">
      <c r="D193" s="667" t="s">
        <v>138</v>
      </c>
      <c r="E193" s="667"/>
      <c r="F193" s="667"/>
      <c r="G193" s="667"/>
      <c r="H193" s="31">
        <v>1</v>
      </c>
      <c r="I193" s="667"/>
      <c r="J193" s="667"/>
      <c r="K193" s="667"/>
      <c r="L193" s="115">
        <v>0</v>
      </c>
      <c r="M193" s="115">
        <v>0</v>
      </c>
      <c r="N193" s="115">
        <v>0</v>
      </c>
      <c r="O193" s="169">
        <f>IFERROR(IF(DD_FLU_CAP_PRICES_GROUPB_3=1,(L193*$J$21),L193),0)</f>
        <v>0</v>
      </c>
      <c r="P193" s="13">
        <f>IFERROR(IF(DD_FLU_CAP_PRICES_GROUPB_3=1,(M193*$J$21),M193),0)</f>
        <v>0</v>
      </c>
      <c r="Q193" s="14">
        <f>IFERROR(IF(DD_FLU_CAP_PRICES_GROUPB_3=1,L193,(L193/$J$21)),0)</f>
        <v>0</v>
      </c>
      <c r="R193" s="14">
        <f>IFERROR(IF(DD_FLU_CAP_PRICES_GROUPB_3=1,M193,(M193/$J$21)),0)</f>
        <v>0</v>
      </c>
      <c r="S193" s="13">
        <f t="shared" si="12"/>
        <v>0</v>
      </c>
      <c r="T193" s="13">
        <f t="shared" si="13"/>
        <v>0</v>
      </c>
      <c r="U193" s="14">
        <f t="shared" si="14"/>
        <v>0</v>
      </c>
      <c r="V193" s="14">
        <f t="shared" si="15"/>
        <v>0</v>
      </c>
      <c r="W193" s="667"/>
      <c r="X193" s="667"/>
      <c r="Y193" s="667"/>
      <c r="Z193" s="667"/>
    </row>
    <row r="194" spans="4:27" s="23" customFormat="1">
      <c r="D194" s="667" t="s">
        <v>139</v>
      </c>
      <c r="E194" s="667"/>
      <c r="F194" s="667"/>
      <c r="G194" s="667"/>
      <c r="H194" s="31">
        <v>1</v>
      </c>
      <c r="I194" s="667"/>
      <c r="J194" s="667"/>
      <c r="K194" s="667"/>
      <c r="L194" s="115">
        <v>0</v>
      </c>
      <c r="M194" s="115">
        <v>0</v>
      </c>
      <c r="N194" s="115">
        <v>0</v>
      </c>
      <c r="O194" s="169">
        <f>IFERROR(IF(DD_FLU_CAP_PRICES_GROUPB_4=1,(L194*$J$21),L194),0)</f>
        <v>0</v>
      </c>
      <c r="P194" s="13">
        <f>IFERROR(IF(DD_FLU_CAP_PRICES_GROUPB_4=1,(M194*$J$21),M194),0)</f>
        <v>0</v>
      </c>
      <c r="Q194" s="14">
        <f>IFERROR(IF(DD_FLU_CAP_PRICES_GROUPB_4=1,L194,(L194/$J$21)),0)</f>
        <v>0</v>
      </c>
      <c r="R194" s="14">
        <f>IFERROR(IF(DD_FLU_CAP_PRICES_GROUPB_4=1,M194,(M194/$J$21)),0)</f>
        <v>0</v>
      </c>
      <c r="S194" s="13">
        <f t="shared" si="12"/>
        <v>0</v>
      </c>
      <c r="T194" s="13">
        <f t="shared" si="13"/>
        <v>0</v>
      </c>
      <c r="U194" s="14">
        <f t="shared" si="14"/>
        <v>0</v>
      </c>
      <c r="V194" s="14">
        <f t="shared" si="15"/>
        <v>0</v>
      </c>
      <c r="W194" s="667"/>
      <c r="X194" s="667"/>
      <c r="Y194" s="667"/>
      <c r="Z194" s="667"/>
    </row>
    <row r="195" spans="4:27" s="23" customFormat="1">
      <c r="D195" s="667" t="s">
        <v>140</v>
      </c>
      <c r="E195" s="667"/>
      <c r="F195" s="667"/>
      <c r="G195" s="667"/>
      <c r="H195" s="31">
        <v>1</v>
      </c>
      <c r="I195" s="667"/>
      <c r="J195" s="667"/>
      <c r="K195" s="667"/>
      <c r="L195" s="115">
        <v>0</v>
      </c>
      <c r="M195" s="115">
        <v>0</v>
      </c>
      <c r="N195" s="115">
        <v>0</v>
      </c>
      <c r="O195" s="169">
        <f>IFERROR(IF(DD_FLU_CAP_PRICES_GROUPB_5=1,(L195*$J$21),L195),0)</f>
        <v>0</v>
      </c>
      <c r="P195" s="13">
        <f>IFERROR(IF(DD_FLU_CAP_PRICES_GROUPB_5=1,(M195*$J$21),M195),0)</f>
        <v>0</v>
      </c>
      <c r="Q195" s="14">
        <f>IFERROR(IF(DD_FLU_CAP_PRICES_GROUPB_5=1,L195,(L195/$J$21)),0)</f>
        <v>0</v>
      </c>
      <c r="R195" s="14">
        <f>IFERROR(IF(DD_FLU_CAP_PRICES_GROUPB_5=1,M195,(M195/$J$21)),0)</f>
        <v>0</v>
      </c>
      <c r="S195" s="13">
        <f t="shared" si="12"/>
        <v>0</v>
      </c>
      <c r="T195" s="13">
        <f t="shared" si="13"/>
        <v>0</v>
      </c>
      <c r="U195" s="14">
        <f t="shared" si="14"/>
        <v>0</v>
      </c>
      <c r="V195" s="14">
        <f t="shared" si="15"/>
        <v>0</v>
      </c>
      <c r="W195" s="667"/>
      <c r="X195" s="667"/>
      <c r="Y195" s="667"/>
      <c r="Z195" s="667"/>
    </row>
    <row r="196" spans="4:27" s="23" customFormat="1">
      <c r="D196" s="667" t="s">
        <v>141</v>
      </c>
      <c r="E196" s="667"/>
      <c r="F196" s="667"/>
      <c r="G196" s="667"/>
      <c r="H196" s="31">
        <v>1</v>
      </c>
      <c r="I196" s="667"/>
      <c r="J196" s="667"/>
      <c r="K196" s="667"/>
      <c r="L196" s="115">
        <v>0</v>
      </c>
      <c r="M196" s="115">
        <v>0</v>
      </c>
      <c r="N196" s="115">
        <v>0</v>
      </c>
      <c r="O196" s="169">
        <f>IFERROR(IF(DD_FLU_CAP_PRICES_GROUPB_6=1,(L196*$J$21),L196),0)</f>
        <v>0</v>
      </c>
      <c r="P196" s="13">
        <f>IFERROR(IF(DD_FLU_CAP_PRICES_GROUPB_6=1,(M196*$J$21),M196),0)</f>
        <v>0</v>
      </c>
      <c r="Q196" s="14">
        <f>IFERROR(IF(DD_FLU_CAP_PRICES_GROUPB_6=1,L196,(L196/$J$21)),0)</f>
        <v>0</v>
      </c>
      <c r="R196" s="14">
        <f>IFERROR(IF(DD_FLU_CAP_PRICES_GROUPB_6=1,M196,(M196/$J$21)),0)</f>
        <v>0</v>
      </c>
      <c r="S196" s="13">
        <f t="shared" si="12"/>
        <v>0</v>
      </c>
      <c r="T196" s="13">
        <f t="shared" si="13"/>
        <v>0</v>
      </c>
      <c r="U196" s="14">
        <f t="shared" si="14"/>
        <v>0</v>
      </c>
      <c r="V196" s="14">
        <f t="shared" si="15"/>
        <v>0</v>
      </c>
      <c r="W196" s="667"/>
      <c r="X196" s="667"/>
      <c r="Y196" s="667"/>
      <c r="Z196" s="667"/>
    </row>
    <row r="197" spans="4:27" s="23" customFormat="1">
      <c r="D197" s="667" t="s">
        <v>218</v>
      </c>
      <c r="E197" s="667"/>
      <c r="F197" s="667"/>
      <c r="G197" s="667"/>
      <c r="H197" s="31">
        <v>1</v>
      </c>
      <c r="I197" s="667"/>
      <c r="J197" s="667"/>
      <c r="K197" s="667"/>
      <c r="L197" s="115">
        <v>0</v>
      </c>
      <c r="M197" s="115">
        <v>0</v>
      </c>
      <c r="N197" s="115">
        <v>0</v>
      </c>
      <c r="O197" s="169">
        <f>IFERROR(IF(DD_FLU_CAP_PRICES_GROUPB_7=1,(L197*$J$21),L197),0)</f>
        <v>0</v>
      </c>
      <c r="P197" s="13">
        <f>IFERROR(IF(DD_FLU_CAP_PRICES_GROUPB_7=1,(M197*$J$21),M197),0)</f>
        <v>0</v>
      </c>
      <c r="Q197" s="14">
        <f>IFERROR(IF(DD_FLU_CAP_PRICES_GROUPB_7=1,L197,(L197/$J$21)),0)</f>
        <v>0</v>
      </c>
      <c r="R197" s="14">
        <f>IFERROR(IF(DD_FLU_CAP_PRICES_GROUPB_7=1,M197,(M197/$J$21)),0)</f>
        <v>0</v>
      </c>
      <c r="S197" s="13">
        <f t="shared" si="12"/>
        <v>0</v>
      </c>
      <c r="T197" s="13">
        <f t="shared" si="13"/>
        <v>0</v>
      </c>
      <c r="U197" s="14">
        <f t="shared" si="14"/>
        <v>0</v>
      </c>
      <c r="V197" s="14">
        <f t="shared" si="15"/>
        <v>0</v>
      </c>
      <c r="W197" s="667"/>
      <c r="X197" s="667"/>
      <c r="Y197" s="667"/>
      <c r="Z197" s="667"/>
    </row>
    <row r="198" spans="4:27" s="23" customFormat="1"/>
    <row r="199" spans="4:27" s="23" customFormat="1"/>
    <row r="200" spans="4:27" s="23" customFormat="1" ht="15.6">
      <c r="D200" s="783" t="str">
        <f>FLU_LU!$D$288</f>
        <v>Cold Chain Equipment</v>
      </c>
      <c r="E200" s="783"/>
      <c r="F200" s="783"/>
      <c r="G200" s="783"/>
    </row>
    <row r="201" spans="4:27" s="23" customFormat="1"/>
    <row r="202" spans="4:27" s="23" customFormat="1" ht="15.6">
      <c r="D202" s="111" t="s">
        <v>106</v>
      </c>
    </row>
    <row r="203" spans="4:27" s="23" customFormat="1"/>
    <row r="204" spans="4:27" s="23" customFormat="1" ht="86.4">
      <c r="D204" s="784" t="str">
        <f>D200&amp;" -Capital Cost Items"</f>
        <v>Cold Chain Equipment -Capital Cost Items</v>
      </c>
      <c r="E204" s="784"/>
      <c r="F204" s="784"/>
      <c r="G204" s="784"/>
      <c r="H204" s="72" t="s">
        <v>61</v>
      </c>
      <c r="I204" s="730" t="s">
        <v>472</v>
      </c>
      <c r="J204" s="730"/>
      <c r="K204" s="730"/>
      <c r="L204" s="152" t="s">
        <v>107</v>
      </c>
      <c r="M204" s="28" t="str">
        <f>"Financial Unit Price in "&amp;TS_First_Fin_Yr</f>
        <v>Financial Unit Price in 2018</v>
      </c>
      <c r="N204" s="28" t="str">
        <f>" Economic Unit Price  in "&amp;TS_First_Fin_Yr</f>
        <v xml:space="preserve"> Economic Unit Price  in 2018</v>
      </c>
      <c r="O204" s="72" t="s">
        <v>105</v>
      </c>
      <c r="P204" s="28" t="str">
        <f>"Financial Price per Single Unit ("&amp;FLU_LU!$D$79&amp;")"</f>
        <v>Financial Price per Single Unit (GOZ)</v>
      </c>
      <c r="Q204" s="28" t="str">
        <f>"Economic Price per Single Unit ("&amp;FLU_LU!$D$79&amp;")"</f>
        <v>Economic Price per Single Unit (GOZ)</v>
      </c>
      <c r="R204" s="28" t="str">
        <f>"Financial Price per Single Unit ("&amp;FLU_LU!$D$78&amp;")"</f>
        <v>Financial Price per Single Unit (USD)</v>
      </c>
      <c r="S204" s="28" t="str">
        <f>"Economic Price per Single Unit ("&amp;FLU_LU!$D$78&amp;")"</f>
        <v>Economic Price per Single Unit (USD)</v>
      </c>
      <c r="T204" s="28" t="str">
        <f>"ANNUALIZED Financial  Price per Single Unit in "&amp;TS_First_Fin_Yr&amp;" ("&amp;FLU_LU!$D$79&amp;")"</f>
        <v>ANNUALIZED Financial  Price per Single Unit in 2018 (GOZ)</v>
      </c>
      <c r="U204" s="28" t="str">
        <f>"ANNUALIZED Economic  Price per Single Unit in "&amp;TS_First_Fin_Yr&amp;" ("&amp;FLU_LU!$D$79&amp;")"</f>
        <v>ANNUALIZED Economic  Price per Single Unit in 2018 (GOZ)</v>
      </c>
      <c r="V204" s="28" t="str">
        <f>"ANNUALIZED Financial  Price per Single Unit in "&amp;TS_First_Fin_Yr&amp;" ("&amp;FLU_LU!$D$78&amp;")"</f>
        <v>ANNUALIZED Financial  Price per Single Unit in 2018 (USD)</v>
      </c>
      <c r="W204" s="28" t="str">
        <f>"ANNUALIZED Economic  Price per Single Unit in "&amp;TS_First_Fin_Yr&amp;" ("&amp;FLU_LU!$D$78&amp;")"</f>
        <v>ANNUALIZED Economic  Price per Single Unit in 2018 (USD)</v>
      </c>
      <c r="X204" s="764" t="s">
        <v>64</v>
      </c>
      <c r="Y204" s="764"/>
      <c r="Z204" s="764"/>
      <c r="AA204" s="764"/>
    </row>
    <row r="205" spans="4:27" s="23" customFormat="1">
      <c r="D205" s="667" t="s">
        <v>219</v>
      </c>
      <c r="E205" s="667"/>
      <c r="F205" s="667"/>
      <c r="G205" s="667"/>
      <c r="H205" s="31">
        <v>1</v>
      </c>
      <c r="I205" s="667"/>
      <c r="J205" s="667"/>
      <c r="K205" s="667"/>
      <c r="L205" s="64"/>
      <c r="M205" s="64"/>
      <c r="N205" s="64"/>
      <c r="O205" s="64"/>
      <c r="P205" s="13">
        <f>IFERROR(IF(DD_FLU_CAP_PRICES_GROUP_C_1=1,(M205*$J$21),M205),0)</f>
        <v>0</v>
      </c>
      <c r="Q205" s="13">
        <f>IFERROR(IF(DD_FLU_CAP_PRICES_GROUP_C_1=1,(N205*$J$21),N205),0)</f>
        <v>0</v>
      </c>
      <c r="R205" s="14">
        <f>IFERROR(IF(DD_FLU_CAP_PRICES_GROUP_C_1=1,M205,(M205/$J$21)),0)</f>
        <v>0</v>
      </c>
      <c r="S205" s="14">
        <f>IFERROR(IF(DD_FLU_CAP_PRICES_GROUP_C_1=1,N205,(N205/$J$21)),0)</f>
        <v>0</v>
      </c>
      <c r="T205" s="13">
        <f t="shared" ref="T205:T215" si="16">IFERROR(P205/$O205,0)</f>
        <v>0</v>
      </c>
      <c r="U205" s="13">
        <f t="shared" ref="U205:U215" si="17">IFERROR(Q205/(((1+$H$24)^$O205-1)/($H$24*(1+$H$24)^$O205)),0)</f>
        <v>0</v>
      </c>
      <c r="V205" s="14">
        <f t="shared" ref="V205:V215" si="18">IFERROR(R205/$O205,0)</f>
        <v>0</v>
      </c>
      <c r="W205" s="14">
        <f t="shared" ref="W205:W215" si="19">IFERROR(S205/(((1+$H$24)^$O205-1)/($H$24*(1+$H$24)^$O205)),0)</f>
        <v>0</v>
      </c>
      <c r="X205" s="667"/>
      <c r="Y205" s="667"/>
      <c r="Z205" s="667"/>
      <c r="AA205" s="667"/>
    </row>
    <row r="206" spans="4:27" s="23" customFormat="1">
      <c r="D206" s="667" t="s">
        <v>214</v>
      </c>
      <c r="E206" s="667"/>
      <c r="F206" s="667"/>
      <c r="G206" s="667"/>
      <c r="H206" s="31">
        <v>1</v>
      </c>
      <c r="I206" s="667"/>
      <c r="J206" s="667"/>
      <c r="K206" s="667"/>
      <c r="L206" s="64">
        <v>200000</v>
      </c>
      <c r="M206" s="64">
        <v>1196</v>
      </c>
      <c r="N206" s="64">
        <v>1196</v>
      </c>
      <c r="O206" s="64">
        <v>10</v>
      </c>
      <c r="P206" s="13">
        <f>IFERROR(IF(DD_FLU_CAP_PRICES_GROUP_C_2=1,(M206*$J$21),M206),0)</f>
        <v>179400</v>
      </c>
      <c r="Q206" s="13">
        <f>IFERROR(IF(DD_FLU_CAP_PRICES_GROUP_C_2=1,(N206*$J$21),N206),0)</f>
        <v>179400</v>
      </c>
      <c r="R206" s="14">
        <f>IFERROR(IF(DD_FLU_CAP_PRICES_GROUP_C_2=1,M206,(M206/$J$21)),0)</f>
        <v>1196</v>
      </c>
      <c r="S206" s="14">
        <f>IFERROR(IF(DD_FLU_CAP_PRICES_GROUP_C_2=1,N206,(N206/$J$21)),0)</f>
        <v>1196</v>
      </c>
      <c r="T206" s="13">
        <f t="shared" si="16"/>
        <v>17940</v>
      </c>
      <c r="U206" s="13">
        <f t="shared" si="17"/>
        <v>21031.152884965635</v>
      </c>
      <c r="V206" s="14">
        <f t="shared" si="18"/>
        <v>119.6</v>
      </c>
      <c r="W206" s="14">
        <f t="shared" si="19"/>
        <v>140.20768589977089</v>
      </c>
      <c r="X206" s="667" t="s">
        <v>283</v>
      </c>
      <c r="Y206" s="667"/>
      <c r="Z206" s="667"/>
      <c r="AA206" s="667"/>
    </row>
    <row r="207" spans="4:27" s="23" customFormat="1">
      <c r="D207" s="667" t="s">
        <v>215</v>
      </c>
      <c r="E207" s="667"/>
      <c r="F207" s="667"/>
      <c r="G207" s="667"/>
      <c r="H207" s="31">
        <v>1</v>
      </c>
      <c r="I207" s="667"/>
      <c r="J207" s="667"/>
      <c r="K207" s="667"/>
      <c r="L207" s="64">
        <v>99000</v>
      </c>
      <c r="M207" s="64">
        <v>2300</v>
      </c>
      <c r="N207" s="64">
        <v>2300</v>
      </c>
      <c r="O207" s="64">
        <v>10</v>
      </c>
      <c r="P207" s="13">
        <f>IFERROR(IF(DD_FLU_CAP_PRICES_GROUP_C_3=1,(M207*$J$21),M207),0)</f>
        <v>345000</v>
      </c>
      <c r="Q207" s="13">
        <f>IFERROR(IF(DD_FLU_CAP_PRICES_GROUP_C_3=1,(N207*$J$21),N207),0)</f>
        <v>345000</v>
      </c>
      <c r="R207" s="14">
        <f>IFERROR(IF(DD_FLU_CAP_PRICES_GROUP_C_3=1,M207,(M207/$J$21)),0)</f>
        <v>2300</v>
      </c>
      <c r="S207" s="14">
        <f>IFERROR(IF(DD_FLU_CAP_PRICES_GROUP_C_3=1,N207,(N207/$J$21)),0)</f>
        <v>2300</v>
      </c>
      <c r="T207" s="13">
        <f t="shared" si="16"/>
        <v>34500</v>
      </c>
      <c r="U207" s="13">
        <f t="shared" si="17"/>
        <v>40444.524778780069</v>
      </c>
      <c r="V207" s="14">
        <f t="shared" si="18"/>
        <v>230</v>
      </c>
      <c r="W207" s="14">
        <f t="shared" si="19"/>
        <v>269.63016519186709</v>
      </c>
      <c r="X207" s="667" t="s">
        <v>283</v>
      </c>
      <c r="Y207" s="667"/>
      <c r="Z207" s="667"/>
      <c r="AA207" s="667"/>
    </row>
    <row r="208" spans="4:27" s="23" customFormat="1">
      <c r="D208" s="667" t="s">
        <v>216</v>
      </c>
      <c r="E208" s="667"/>
      <c r="F208" s="667"/>
      <c r="G208" s="667"/>
      <c r="H208" s="31">
        <v>1</v>
      </c>
      <c r="I208" s="667"/>
      <c r="J208" s="667"/>
      <c r="K208" s="667"/>
      <c r="L208" s="64">
        <v>63000</v>
      </c>
      <c r="M208" s="64">
        <v>450</v>
      </c>
      <c r="N208" s="64">
        <v>450</v>
      </c>
      <c r="O208" s="64">
        <v>10</v>
      </c>
      <c r="P208" s="13">
        <f>IFERROR(IF(DD_FLU_CAP_PRICES_GROUP_C_4=1,(M208*$J$21),M208),0)</f>
        <v>67500</v>
      </c>
      <c r="Q208" s="13">
        <f>IFERROR(IF(DD_FLU_CAP_PRICES_GROUP_C_4=1,(N208*$J$21),N208),0)</f>
        <v>67500</v>
      </c>
      <c r="R208" s="14">
        <f>IFERROR(IF(DD_FLU_CAP_PRICES_GROUP_C_4=1,M208,(M208/$J$21)),0)</f>
        <v>450</v>
      </c>
      <c r="S208" s="14">
        <f>IFERROR(IF(DD_FLU_CAP_PRICES_GROUP_C_4=1,N208,(N208/$J$21)),0)</f>
        <v>450</v>
      </c>
      <c r="T208" s="13">
        <f t="shared" si="16"/>
        <v>6750</v>
      </c>
      <c r="U208" s="13">
        <f t="shared" si="17"/>
        <v>7913.0591958482737</v>
      </c>
      <c r="V208" s="14">
        <f t="shared" si="18"/>
        <v>45</v>
      </c>
      <c r="W208" s="14">
        <f t="shared" si="19"/>
        <v>52.753727972321826</v>
      </c>
      <c r="X208" s="667" t="s">
        <v>283</v>
      </c>
      <c r="Y208" s="667"/>
      <c r="Z208" s="667"/>
      <c r="AA208" s="667"/>
    </row>
    <row r="209" spans="4:27" s="23" customFormat="1">
      <c r="D209" s="667" t="s">
        <v>217</v>
      </c>
      <c r="E209" s="667"/>
      <c r="F209" s="667"/>
      <c r="G209" s="667"/>
      <c r="H209" s="31">
        <v>1</v>
      </c>
      <c r="I209" s="667"/>
      <c r="J209" s="667"/>
      <c r="K209" s="667"/>
      <c r="L209" s="64">
        <v>45000</v>
      </c>
      <c r="M209" s="64">
        <v>510</v>
      </c>
      <c r="N209" s="64">
        <v>510</v>
      </c>
      <c r="O209" s="64">
        <v>10</v>
      </c>
      <c r="P209" s="13">
        <f>IFERROR(IF(DD_FLU_CAP_PRICES_GROUP_C_5=1,(M209*$J$21),M209),0)</f>
        <v>76500</v>
      </c>
      <c r="Q209" s="13">
        <f>IFERROR(IF(DD_FLU_CAP_PRICES_GROUP_C_5=1,(N209*$J$21),N209),0)</f>
        <v>76500</v>
      </c>
      <c r="R209" s="14">
        <f>IFERROR(IF(DD_FLU_CAP_PRICES_GROUP_C_5=1,M209,(M209/$J$21)),0)</f>
        <v>510</v>
      </c>
      <c r="S209" s="14">
        <f>IFERROR(IF(DD_FLU_CAP_PRICES_GROUP_C_5=1,N209,(N209/$J$21)),0)</f>
        <v>510</v>
      </c>
      <c r="T209" s="13">
        <f t="shared" si="16"/>
        <v>7650</v>
      </c>
      <c r="U209" s="13">
        <f t="shared" si="17"/>
        <v>8968.1337552947098</v>
      </c>
      <c r="V209" s="14">
        <f t="shared" si="18"/>
        <v>51</v>
      </c>
      <c r="W209" s="14">
        <f t="shared" si="19"/>
        <v>59.787558368631402</v>
      </c>
      <c r="X209" s="667" t="s">
        <v>283</v>
      </c>
      <c r="Y209" s="667"/>
      <c r="Z209" s="667"/>
      <c r="AA209" s="667"/>
    </row>
    <row r="210" spans="4:27" s="23" customFormat="1">
      <c r="D210" s="667" t="s">
        <v>109</v>
      </c>
      <c r="E210" s="667"/>
      <c r="F210" s="667"/>
      <c r="G210" s="667"/>
      <c r="H210" s="31">
        <v>1</v>
      </c>
      <c r="I210" s="667"/>
      <c r="J210" s="667"/>
      <c r="K210" s="667"/>
      <c r="L210" s="64">
        <v>126500</v>
      </c>
      <c r="M210" s="64">
        <v>4480</v>
      </c>
      <c r="N210" s="64">
        <v>4480</v>
      </c>
      <c r="O210" s="64">
        <v>10</v>
      </c>
      <c r="P210" s="13">
        <f>IFERROR(IF(DD_FLU_CAP_PRICES_GROUP_C_6=1,(M210*$J$21),M210),0)</f>
        <v>672000</v>
      </c>
      <c r="Q210" s="13">
        <f>IFERROR(IF(DD_FLU_CAP_PRICES_GROUP_C_6=1,(N210*$J$21),N210),0)</f>
        <v>672000</v>
      </c>
      <c r="R210" s="14">
        <f>IFERROR(IF(DD_FLU_CAP_PRICES_GROUP_C_6=1,M210,(M210/$J$21)),0)</f>
        <v>4480</v>
      </c>
      <c r="S210" s="14">
        <f>IFERROR(IF(DD_FLU_CAP_PRICES_GROUP_C_6=1,N210,(N210/$J$21)),0)</f>
        <v>4480</v>
      </c>
      <c r="T210" s="13">
        <f t="shared" si="16"/>
        <v>67200</v>
      </c>
      <c r="U210" s="13">
        <f t="shared" si="17"/>
        <v>78778.90043866726</v>
      </c>
      <c r="V210" s="14">
        <f t="shared" si="18"/>
        <v>448</v>
      </c>
      <c r="W210" s="14">
        <f t="shared" si="19"/>
        <v>525.19266959111508</v>
      </c>
      <c r="X210" s="667" t="s">
        <v>283</v>
      </c>
      <c r="Y210" s="667"/>
      <c r="Z210" s="667"/>
      <c r="AA210" s="667"/>
    </row>
    <row r="211" spans="4:27" s="23" customFormat="1">
      <c r="D211" s="667" t="s">
        <v>223</v>
      </c>
      <c r="E211" s="667"/>
      <c r="F211" s="667"/>
      <c r="G211" s="667"/>
      <c r="H211" s="31">
        <v>1</v>
      </c>
      <c r="I211" s="667"/>
      <c r="J211" s="667"/>
      <c r="K211" s="667"/>
      <c r="L211" s="64">
        <v>0</v>
      </c>
      <c r="M211" s="64">
        <v>2750</v>
      </c>
      <c r="N211" s="64">
        <v>2750</v>
      </c>
      <c r="O211" s="64">
        <v>10</v>
      </c>
      <c r="P211" s="13">
        <f>IFERROR(IF(DD_FLU_CAP_PRICES_GROUP_C_7=1,(M211*$J$21),M211),0)</f>
        <v>412500</v>
      </c>
      <c r="Q211" s="13">
        <f>IFERROR(IF(DD_FLU_CAP_PRICES_GROUP_C_7=1,(N211*$J$21),N211),0)</f>
        <v>412500</v>
      </c>
      <c r="R211" s="14">
        <f>IFERROR(IF(DD_FLU_CAP_PRICES_GROUP_C_7=1,M211,(M211/$J$21)),0)</f>
        <v>2750</v>
      </c>
      <c r="S211" s="14">
        <f>IFERROR(IF(DD_FLU_CAP_PRICES_GROUP_C_7=1,N211,(N211/$J$21)),0)</f>
        <v>2750</v>
      </c>
      <c r="T211" s="13">
        <f t="shared" si="16"/>
        <v>41250</v>
      </c>
      <c r="U211" s="13">
        <f t="shared" si="17"/>
        <v>48357.583974628338</v>
      </c>
      <c r="V211" s="14">
        <f t="shared" si="18"/>
        <v>275</v>
      </c>
      <c r="W211" s="14">
        <f t="shared" si="19"/>
        <v>322.38389316418892</v>
      </c>
      <c r="X211" s="667" t="s">
        <v>283</v>
      </c>
      <c r="Y211" s="667"/>
      <c r="Z211" s="667"/>
      <c r="AA211" s="667"/>
    </row>
    <row r="212" spans="4:27" s="23" customFormat="1">
      <c r="D212" s="667" t="s">
        <v>649</v>
      </c>
      <c r="E212" s="667"/>
      <c r="F212" s="667"/>
      <c r="G212" s="667"/>
      <c r="H212" s="31">
        <v>1</v>
      </c>
      <c r="I212" s="667"/>
      <c r="J212" s="667"/>
      <c r="K212" s="667"/>
      <c r="L212" s="64">
        <v>0</v>
      </c>
      <c r="M212" s="64">
        <v>0</v>
      </c>
      <c r="N212" s="64">
        <v>0</v>
      </c>
      <c r="O212" s="64">
        <v>0</v>
      </c>
      <c r="P212" s="13">
        <f>IFERROR(IF(DD_FLU_CAP_PRICES_GROUP_C_8=1,(M212*$J$21),M212),0)</f>
        <v>0</v>
      </c>
      <c r="Q212" s="13">
        <f>IFERROR(IF(DD_FLU_CAP_PRICES_GROUP_C_8=1,(N212*$J$21),N212),0)</f>
        <v>0</v>
      </c>
      <c r="R212" s="14">
        <f>IFERROR(IF(DD_FLU_CAP_PRICES_GROUP_C_8=1,M212,(M212/$J$21)),0)</f>
        <v>0</v>
      </c>
      <c r="S212" s="14">
        <f>IFERROR(IF(DD_FLU_CAP_PRICES_GROUP_C_8=1,N212,(N212/$J$21)),0)</f>
        <v>0</v>
      </c>
      <c r="T212" s="13">
        <f t="shared" si="16"/>
        <v>0</v>
      </c>
      <c r="U212" s="13">
        <f t="shared" si="17"/>
        <v>0</v>
      </c>
      <c r="V212" s="14">
        <f t="shared" si="18"/>
        <v>0</v>
      </c>
      <c r="W212" s="14">
        <f t="shared" si="19"/>
        <v>0</v>
      </c>
      <c r="X212" s="667"/>
      <c r="Y212" s="667"/>
      <c r="Z212" s="667"/>
      <c r="AA212" s="667"/>
    </row>
    <row r="213" spans="4:27" s="23" customFormat="1">
      <c r="D213" s="667" t="s">
        <v>220</v>
      </c>
      <c r="E213" s="667"/>
      <c r="F213" s="667"/>
      <c r="G213" s="667"/>
      <c r="H213" s="31">
        <v>1</v>
      </c>
      <c r="I213" s="667"/>
      <c r="J213" s="667"/>
      <c r="K213" s="667"/>
      <c r="L213" s="64">
        <v>0</v>
      </c>
      <c r="M213" s="64">
        <v>0</v>
      </c>
      <c r="N213" s="64">
        <v>0</v>
      </c>
      <c r="O213" s="64">
        <v>0</v>
      </c>
      <c r="P213" s="13">
        <f>IFERROR(IF(DD_FLU_CAP_PRICES_GROUP_C_9=1,(M213*$J$21),M213),0)</f>
        <v>0</v>
      </c>
      <c r="Q213" s="13">
        <f>IFERROR(IF(DD_FLU_CAP_PRICES_GROUP_C_9=1,(N213*$J$21),N213),0)</f>
        <v>0</v>
      </c>
      <c r="R213" s="14">
        <f>IFERROR(IF(DD_FLU_CAP_PRICES_GROUP_C_9=1,M213,(M213/$J$21)),0)</f>
        <v>0</v>
      </c>
      <c r="S213" s="14">
        <f>IFERROR(IF(DD_FLU_CAP_PRICES_GROUP_C_9=1,N213,(N213/$J$21)),0)</f>
        <v>0</v>
      </c>
      <c r="T213" s="13">
        <f t="shared" si="16"/>
        <v>0</v>
      </c>
      <c r="U213" s="13">
        <f t="shared" si="17"/>
        <v>0</v>
      </c>
      <c r="V213" s="14">
        <f t="shared" si="18"/>
        <v>0</v>
      </c>
      <c r="W213" s="14">
        <f t="shared" si="19"/>
        <v>0</v>
      </c>
      <c r="X213" s="667"/>
      <c r="Y213" s="667"/>
      <c r="Z213" s="667"/>
      <c r="AA213" s="667"/>
    </row>
    <row r="214" spans="4:27" s="23" customFormat="1">
      <c r="D214" s="667" t="s">
        <v>221</v>
      </c>
      <c r="E214" s="667"/>
      <c r="F214" s="667"/>
      <c r="G214" s="667"/>
      <c r="H214" s="31">
        <v>1</v>
      </c>
      <c r="I214" s="667"/>
      <c r="J214" s="667"/>
      <c r="K214" s="667"/>
      <c r="L214" s="64">
        <v>0</v>
      </c>
      <c r="M214" s="64">
        <v>0</v>
      </c>
      <c r="N214" s="64">
        <v>0</v>
      </c>
      <c r="O214" s="64">
        <v>0</v>
      </c>
      <c r="P214" s="13">
        <f>IFERROR(IF(DD_FLU_CAP_PRICES_GROUP_C_10=1,(M214*$J$21),M214),0)</f>
        <v>0</v>
      </c>
      <c r="Q214" s="13">
        <f>IFERROR(IF(DD_FLU_CAP_PRICES_GROUP_C_10=1,(N214*$J$21),N214),0)</f>
        <v>0</v>
      </c>
      <c r="R214" s="14">
        <f>IFERROR(IF(DD_FLU_CAP_PRICES_GROUP_C_10=1,M214,(M214/$J$21)),0)</f>
        <v>0</v>
      </c>
      <c r="S214" s="14">
        <f>IFERROR(IF(DD_FLU_CAP_PRICES_GROUP_C_10=1,N214,(N214/$J$21)),0)</f>
        <v>0</v>
      </c>
      <c r="T214" s="13">
        <f t="shared" si="16"/>
        <v>0</v>
      </c>
      <c r="U214" s="13">
        <f t="shared" si="17"/>
        <v>0</v>
      </c>
      <c r="V214" s="14">
        <f t="shared" si="18"/>
        <v>0</v>
      </c>
      <c r="W214" s="14">
        <f t="shared" si="19"/>
        <v>0</v>
      </c>
      <c r="X214" s="667"/>
      <c r="Y214" s="667"/>
      <c r="Z214" s="667"/>
      <c r="AA214" s="667"/>
    </row>
    <row r="215" spans="4:27" s="23" customFormat="1">
      <c r="D215" s="667" t="s">
        <v>222</v>
      </c>
      <c r="E215" s="667"/>
      <c r="F215" s="667"/>
      <c r="G215" s="667"/>
      <c r="H215" s="31">
        <v>1</v>
      </c>
      <c r="I215" s="667"/>
      <c r="J215" s="667"/>
      <c r="K215" s="667"/>
      <c r="L215" s="64">
        <v>0</v>
      </c>
      <c r="M215" s="64">
        <v>0</v>
      </c>
      <c r="N215" s="64">
        <v>0</v>
      </c>
      <c r="O215" s="64">
        <v>0</v>
      </c>
      <c r="P215" s="13">
        <f>IFERROR(IF(DD_FLU_CAP_PRICES_GROUP_C_11=1,(M215*$J$21),M215),0)</f>
        <v>0</v>
      </c>
      <c r="Q215" s="13">
        <f>IFERROR(IF(DD_FLU_CAP_PRICES_GROUP_C_11=1,(N215*$J$21),N215),0)</f>
        <v>0</v>
      </c>
      <c r="R215" s="14">
        <f>IFERROR(IF(DD_FLU_CAP_PRICES_GROUP_C_11=1,M215,(M215/$J$21)),0)</f>
        <v>0</v>
      </c>
      <c r="S215" s="14">
        <f>IFERROR(IF(DD_FLU_CAP_PRICES_GROUP_C_11=1,N215,(N215/$J$21)),0)</f>
        <v>0</v>
      </c>
      <c r="T215" s="13">
        <f t="shared" si="16"/>
        <v>0</v>
      </c>
      <c r="U215" s="13">
        <f t="shared" si="17"/>
        <v>0</v>
      </c>
      <c r="V215" s="14">
        <f t="shared" si="18"/>
        <v>0</v>
      </c>
      <c r="W215" s="14">
        <f t="shared" si="19"/>
        <v>0</v>
      </c>
      <c r="X215" s="667"/>
      <c r="Y215" s="667"/>
      <c r="Z215" s="667"/>
      <c r="AA215" s="667"/>
    </row>
    <row r="216" spans="4:27" s="23" customFormat="1"/>
    <row r="217" spans="4:27" s="23" customFormat="1"/>
    <row r="218" spans="4:27" s="23" customFormat="1" ht="15.6">
      <c r="D218" s="783" t="str">
        <f>FLU_LU!$D$289</f>
        <v>Other Direct Costs (Capital)</v>
      </c>
      <c r="E218" s="783"/>
      <c r="F218" s="783"/>
      <c r="G218" s="783"/>
    </row>
    <row r="219" spans="4:27" s="23" customFormat="1"/>
    <row r="220" spans="4:27" s="23" customFormat="1" ht="15.6">
      <c r="D220" s="111" t="s">
        <v>106</v>
      </c>
    </row>
    <row r="221" spans="4:27" s="23" customFormat="1"/>
    <row r="222" spans="4:27" s="23" customFormat="1" ht="86.4">
      <c r="D222" s="782" t="str">
        <f>D218&amp;" -Capital Cost Items"</f>
        <v>Other Direct Costs (Capital) -Capital Cost Items</v>
      </c>
      <c r="E222" s="782"/>
      <c r="F222" s="782"/>
      <c r="G222" s="782"/>
      <c r="H222" s="72" t="s">
        <v>61</v>
      </c>
      <c r="I222" s="730" t="s">
        <v>472</v>
      </c>
      <c r="J222" s="730"/>
      <c r="K222" s="730"/>
      <c r="L222" s="28" t="str">
        <f>"Financial Unit Price in "&amp;TS_First_Fin_Yr</f>
        <v>Financial Unit Price in 2018</v>
      </c>
      <c r="M222" s="28" t="str">
        <f>" Economic Unit Price  in "&amp;TS_First_Fin_Yr</f>
        <v xml:space="preserve"> Economic Unit Price  in 2018</v>
      </c>
      <c r="N222" s="72" t="s">
        <v>105</v>
      </c>
      <c r="O222" s="28" t="str">
        <f>"Financial Price per Single Unit ("&amp;FLU_LU!$D$79&amp;")"</f>
        <v>Financial Price per Single Unit (GOZ)</v>
      </c>
      <c r="P222" s="28" t="str">
        <f>"Economic Price per Single Unit ("&amp;FLU_LU!$D$79&amp;")"</f>
        <v>Economic Price per Single Unit (GOZ)</v>
      </c>
      <c r="Q222" s="28" t="str">
        <f>"Financial Price per Single Unit ("&amp;FLU_LU!$D$78&amp;")"</f>
        <v>Financial Price per Single Unit (USD)</v>
      </c>
      <c r="R222" s="28" t="str">
        <f>"Economic Price per Single Unit ("&amp;FLU_LU!$D$78&amp;")"</f>
        <v>Economic Price per Single Unit (USD)</v>
      </c>
      <c r="S222" s="28" t="str">
        <f>"ANNUALIZED Financial  Price per Single Unit in "&amp;TS_First_Fin_Yr&amp;" ("&amp;FLU_LU!$D$79&amp;")"</f>
        <v>ANNUALIZED Financial  Price per Single Unit in 2018 (GOZ)</v>
      </c>
      <c r="T222" s="28" t="str">
        <f>"ANNUALIZED Economic  Price per Single Unit in "&amp;TS_First_Fin_Yr&amp;" ("&amp;FLU_LU!$D$79&amp;")"</f>
        <v>ANNUALIZED Economic  Price per Single Unit in 2018 (GOZ)</v>
      </c>
      <c r="U222" s="28" t="str">
        <f>"ANNUALIZED Financial  Price per Single Unit in "&amp;TS_First_Fin_Yr&amp;" ("&amp;FLU_LU!$D$78&amp;")"</f>
        <v>ANNUALIZED Financial  Price per Single Unit in 2018 (USD)</v>
      </c>
      <c r="V222" s="28" t="str">
        <f>"ANNUALIZED Economic  Price per Single Unit in "&amp;TS_First_Fin_Yr&amp;" ("&amp;FLU_LU!$D$78&amp;")"</f>
        <v>ANNUALIZED Economic  Price per Single Unit in 2018 (USD)</v>
      </c>
      <c r="W222" s="764" t="s">
        <v>64</v>
      </c>
      <c r="X222" s="764"/>
      <c r="Y222" s="764"/>
      <c r="Z222" s="764"/>
    </row>
    <row r="223" spans="4:27" s="23" customFormat="1">
      <c r="D223" s="667" t="s">
        <v>219</v>
      </c>
      <c r="E223" s="667"/>
      <c r="F223" s="667"/>
      <c r="G223" s="667"/>
      <c r="H223" s="31">
        <v>1</v>
      </c>
      <c r="I223" s="667"/>
      <c r="J223" s="667"/>
      <c r="K223" s="667"/>
      <c r="L223" s="64"/>
      <c r="M223" s="64"/>
      <c r="N223" s="64"/>
      <c r="O223" s="13">
        <f>IFERROR(IF(DD_FLU_CAP_PRICES_GROUP_D_1=1,(L223*$J$21),L223),0)</f>
        <v>0</v>
      </c>
      <c r="P223" s="13">
        <f>IFERROR(IF(DD_FLU_CAP_PRICES_GROUP_D_1=1,(M223*$J$21),M223),0)</f>
        <v>0</v>
      </c>
      <c r="Q223" s="14">
        <f>IFERROR(IF(DD_FLU_CAP_PRICES_GROUP_D_1=1,L223,(L223/$J$21)),0)</f>
        <v>0</v>
      </c>
      <c r="R223" s="14">
        <f>IFERROR(IF(DD_FLU_CAP_PRICES_GROUP_D_1=1,M223,(M223/$J$21)),0)</f>
        <v>0</v>
      </c>
      <c r="S223" s="13">
        <f>IFERROR(O223/$N223,0)</f>
        <v>0</v>
      </c>
      <c r="T223" s="13">
        <f>IFERROR(P223/(((1+$H$24)^$N223-1)/($H$24*(1+$H$24)^$N223)),0)</f>
        <v>0</v>
      </c>
      <c r="U223" s="14">
        <f>IFERROR(Q223/$N223,0)</f>
        <v>0</v>
      </c>
      <c r="V223" s="14">
        <f>IFERROR(R223/(((1+$H$24)^$N223-1)/($H$24*(1+$H$24)^$N223)),0)</f>
        <v>0</v>
      </c>
      <c r="W223" s="667"/>
      <c r="X223" s="667"/>
      <c r="Y223" s="667"/>
      <c r="Z223" s="667"/>
    </row>
    <row r="224" spans="4:27" s="23" customFormat="1">
      <c r="D224" s="667" t="s">
        <v>473</v>
      </c>
      <c r="E224" s="667"/>
      <c r="F224" s="667"/>
      <c r="G224" s="667"/>
      <c r="H224" s="31">
        <v>1</v>
      </c>
      <c r="I224" s="667"/>
      <c r="J224" s="667"/>
      <c r="K224" s="667"/>
      <c r="L224" s="64">
        <v>2000</v>
      </c>
      <c r="M224" s="64">
        <v>3000</v>
      </c>
      <c r="N224" s="64">
        <v>5</v>
      </c>
      <c r="O224" s="13">
        <f>IFERROR(IF(DD_FLU_CAP_PRICES_GROUP_D_2=1,(L224*$J$21),L224),0)</f>
        <v>300000</v>
      </c>
      <c r="P224" s="13">
        <f>IFERROR(IF(DD_FLU_CAP_PRICES_GROUP_D_2=1,(M224*$J$21),M224),0)</f>
        <v>450000</v>
      </c>
      <c r="Q224" s="14">
        <f>IFERROR(IF(DD_FLU_CAP_PRICES_GROUP_D_2=1,L224,(L224/$J$21)),0)</f>
        <v>2000</v>
      </c>
      <c r="R224" s="14">
        <f>IFERROR(IF(DD_FLU_CAP_PRICES_GROUP_D_2=1,M224,(M224/$J$21)),0)</f>
        <v>3000</v>
      </c>
      <c r="S224" s="13">
        <f>IFERROR(O224/$N224,0)</f>
        <v>60000</v>
      </c>
      <c r="T224" s="13">
        <f>IFERROR(P224/(((1+$H$24)^$N224-1)/($H$24*(1+$H$24)^$N224)),0)</f>
        <v>98259.557130259287</v>
      </c>
      <c r="U224" s="14">
        <f>IFERROR(Q224/$N224,0)</f>
        <v>400</v>
      </c>
      <c r="V224" s="14">
        <f>IFERROR(R224/(((1+$H$24)^$N224-1)/($H$24*(1+$H$24)^$N224)),0)</f>
        <v>655.06371420172854</v>
      </c>
      <c r="W224" s="667"/>
      <c r="X224" s="667"/>
      <c r="Y224" s="667"/>
      <c r="Z224" s="667"/>
    </row>
    <row r="225" spans="4:26" s="23" customFormat="1">
      <c r="D225" s="667" t="s">
        <v>142</v>
      </c>
      <c r="E225" s="667"/>
      <c r="F225" s="667"/>
      <c r="G225" s="667"/>
      <c r="H225" s="31">
        <v>1</v>
      </c>
      <c r="I225" s="667"/>
      <c r="J225" s="667"/>
      <c r="K225" s="667"/>
      <c r="L225" s="64">
        <v>0</v>
      </c>
      <c r="M225" s="64">
        <v>0</v>
      </c>
      <c r="N225" s="64">
        <v>0</v>
      </c>
      <c r="O225" s="13">
        <f>IFERROR(IF(DD_FLU_CAP_PRICES_GROUP_D_3=1,(L225*$J$21),L225),0)</f>
        <v>0</v>
      </c>
      <c r="P225" s="13">
        <f>IFERROR(IF(DD_FLU_CAP_PRICES_GROUP_D_3=1,(M225*$J$21),M225),0)</f>
        <v>0</v>
      </c>
      <c r="Q225" s="14">
        <f>IFERROR(IF(DD_FLU_CAP_PRICES_GROUP_D_3=1,L225,(L225/$J$21)),0)</f>
        <v>0</v>
      </c>
      <c r="R225" s="14">
        <f>IFERROR(IF(DD_FLU_CAP_PRICES_GROUP_D_3=1,M225,(M225/$J$21)),0)</f>
        <v>0</v>
      </c>
      <c r="S225" s="13">
        <f>IFERROR(O225/$N225,0)</f>
        <v>0</v>
      </c>
      <c r="T225" s="13">
        <f>IFERROR(P225/(((1+$H$24)^$N225-1)/($H$24*(1+$H$24)^$N225)),0)</f>
        <v>0</v>
      </c>
      <c r="U225" s="14">
        <f>IFERROR(Q225/$N225,0)</f>
        <v>0</v>
      </c>
      <c r="V225" s="14">
        <f>IFERROR(R225/(((1+$H$24)^$N225-1)/($H$24*(1+$H$24)^$N225)),0)</f>
        <v>0</v>
      </c>
      <c r="W225" s="667"/>
      <c r="X225" s="667"/>
      <c r="Y225" s="667"/>
      <c r="Z225" s="667"/>
    </row>
    <row r="226" spans="4:26" s="23" customFormat="1">
      <c r="D226" s="667" t="s">
        <v>143</v>
      </c>
      <c r="E226" s="667"/>
      <c r="F226" s="667"/>
      <c r="G226" s="667"/>
      <c r="H226" s="31">
        <v>1</v>
      </c>
      <c r="I226" s="667"/>
      <c r="J226" s="667"/>
      <c r="K226" s="667"/>
      <c r="L226" s="64">
        <v>0</v>
      </c>
      <c r="M226" s="64">
        <v>0</v>
      </c>
      <c r="N226" s="64">
        <v>0</v>
      </c>
      <c r="O226" s="13">
        <f>IFERROR(IF(DD_FLU_CAP_PRICES_GROUP_D_4=1,(L226*$J$21),L226),0)</f>
        <v>0</v>
      </c>
      <c r="P226" s="13">
        <f>IFERROR(IF(DD_FLU_CAP_PRICES_GROUP_D_4=1,(M226*$J$21),M226),0)</f>
        <v>0</v>
      </c>
      <c r="Q226" s="14">
        <f>IFERROR(IF(DD_FLU_CAP_PRICES_GROUP_D_4=1,L226,(L226/$J$21)),0)</f>
        <v>0</v>
      </c>
      <c r="R226" s="14">
        <f>IFERROR(IF(DD_FLU_CAP_PRICES_GROUP_D_4=1,M226,(M226/$J$21)),0)</f>
        <v>0</v>
      </c>
      <c r="S226" s="13">
        <f>IFERROR(O226/$N226,0)</f>
        <v>0</v>
      </c>
      <c r="T226" s="13">
        <f>IFERROR(P226/(((1+$H$24)^$N226-1)/($H$24*(1+$H$24)^$N226)),0)</f>
        <v>0</v>
      </c>
      <c r="U226" s="14">
        <f>IFERROR(Q226/$N226,0)</f>
        <v>0</v>
      </c>
      <c r="V226" s="14">
        <f>IFERROR(R226/(((1+$H$24)^$N226-1)/($H$24*(1+$H$24)^$N226)),0)</f>
        <v>0</v>
      </c>
      <c r="W226" s="667"/>
      <c r="X226" s="667"/>
      <c r="Y226" s="667"/>
      <c r="Z226" s="667"/>
    </row>
    <row r="227" spans="4:26" s="23" customFormat="1">
      <c r="D227" s="667" t="s">
        <v>144</v>
      </c>
      <c r="E227" s="667"/>
      <c r="F227" s="667"/>
      <c r="G227" s="667"/>
      <c r="H227" s="31">
        <v>1</v>
      </c>
      <c r="I227" s="667"/>
      <c r="J227" s="667"/>
      <c r="K227" s="667"/>
      <c r="L227" s="64">
        <v>0</v>
      </c>
      <c r="M227" s="64">
        <v>0</v>
      </c>
      <c r="N227" s="64">
        <v>0</v>
      </c>
      <c r="O227" s="13">
        <f>IFERROR(IF(DD_FLU_CAP_PRICES_GROUP_D_5=1,(L227*$J$21),L227),0)</f>
        <v>0</v>
      </c>
      <c r="P227" s="13">
        <f>IFERROR(IF(DD_FLU_CAP_PRICES_GROUP_D_5=1,(M227*$J$21),M227),0)</f>
        <v>0</v>
      </c>
      <c r="Q227" s="14">
        <f>IFERROR(IF(DD_FLU_CAP_PRICES_GROUP_D_5=1,L227,(L227/$J$21)),0)</f>
        <v>0</v>
      </c>
      <c r="R227" s="14">
        <f>IFERROR(IF(DD_FLU_CAP_PRICES_GROUP_D_5=1,M227,(M227/$J$21)),0)</f>
        <v>0</v>
      </c>
      <c r="S227" s="13">
        <f>IFERROR(O227/$N227,0)</f>
        <v>0</v>
      </c>
      <c r="T227" s="13">
        <f>IFERROR(P227/(((1+$H$24)^$N227-1)/($H$24*(1+$H$24)^$N227)),0)</f>
        <v>0</v>
      </c>
      <c r="U227" s="14">
        <f>IFERROR(Q227/$N227,0)</f>
        <v>0</v>
      </c>
      <c r="V227" s="14">
        <f>IFERROR(R227/(((1+$H$24)^$N227-1)/($H$24*(1+$H$24)^$N227)),0)</f>
        <v>0</v>
      </c>
      <c r="W227" s="667"/>
      <c r="X227" s="667"/>
      <c r="Y227" s="667"/>
      <c r="Z227" s="667"/>
    </row>
    <row r="228" spans="4:26">
      <c r="N228" s="23"/>
      <c r="O228" s="23"/>
      <c r="P228" s="23"/>
      <c r="Q228" s="23"/>
    </row>
    <row r="229" spans="4:26">
      <c r="N229" s="23"/>
      <c r="O229" s="23"/>
      <c r="P229" s="23"/>
      <c r="Q229" s="23"/>
    </row>
    <row r="230" spans="4:26">
      <c r="N230" s="23"/>
      <c r="O230" s="23"/>
      <c r="P230" s="23"/>
      <c r="Q230" s="23"/>
    </row>
    <row r="231" spans="4:26">
      <c r="N231" s="23"/>
      <c r="O231" s="23"/>
      <c r="P231" s="23"/>
      <c r="Q231" s="23"/>
    </row>
    <row r="232" spans="4:26">
      <c r="N232" s="23"/>
      <c r="O232" s="23"/>
      <c r="P232" s="23"/>
      <c r="Q232" s="23"/>
    </row>
    <row r="233" spans="4:26">
      <c r="N233" s="23"/>
      <c r="O233" s="23"/>
      <c r="P233" s="23"/>
      <c r="Q233" s="23"/>
    </row>
    <row r="234" spans="4:26">
      <c r="N234" s="23"/>
      <c r="O234" s="23"/>
      <c r="P234" s="23"/>
      <c r="Q234" s="23"/>
    </row>
    <row r="235" spans="4:26">
      <c r="N235" s="23"/>
      <c r="O235" s="23"/>
      <c r="P235" s="23"/>
      <c r="Q235" s="23"/>
    </row>
    <row r="236" spans="4:26">
      <c r="N236" s="23"/>
      <c r="O236" s="23"/>
      <c r="P236" s="23"/>
      <c r="Q236" s="23"/>
    </row>
    <row r="237" spans="4:26">
      <c r="N237" s="23"/>
      <c r="O237" s="23"/>
      <c r="P237" s="23"/>
      <c r="Q237" s="23"/>
    </row>
    <row r="238" spans="4:26">
      <c r="N238" s="23"/>
      <c r="O238" s="23"/>
      <c r="P238" s="23"/>
      <c r="Q238" s="23"/>
    </row>
    <row r="239" spans="4:26">
      <c r="N239" s="23"/>
      <c r="O239" s="23"/>
      <c r="P239" s="23"/>
      <c r="Q239" s="23"/>
    </row>
    <row r="240" spans="4:26">
      <c r="N240" s="23"/>
      <c r="O240" s="23"/>
      <c r="P240" s="23"/>
      <c r="Q240" s="23"/>
    </row>
    <row r="241" spans="14:17">
      <c r="N241" s="23"/>
      <c r="O241" s="23"/>
      <c r="P241" s="23"/>
      <c r="Q241" s="23"/>
    </row>
    <row r="242" spans="14:17">
      <c r="N242" s="23"/>
      <c r="O242" s="23"/>
      <c r="P242" s="23"/>
      <c r="Q242" s="23"/>
    </row>
    <row r="243" spans="14:17">
      <c r="N243" s="23"/>
      <c r="O243" s="23"/>
      <c r="P243" s="23"/>
      <c r="Q243" s="23"/>
    </row>
    <row r="244" spans="14:17">
      <c r="N244" s="23"/>
      <c r="O244" s="23"/>
      <c r="P244" s="23"/>
      <c r="Q244" s="23"/>
    </row>
    <row r="245" spans="14:17">
      <c r="N245" s="23"/>
      <c r="O245" s="23"/>
      <c r="P245" s="23"/>
      <c r="Q245" s="23"/>
    </row>
    <row r="246" spans="14:17">
      <c r="N246" s="23"/>
      <c r="O246" s="23"/>
      <c r="P246" s="23"/>
      <c r="Q246" s="23"/>
    </row>
    <row r="247" spans="14:17">
      <c r="N247" s="23"/>
      <c r="O247" s="23"/>
      <c r="P247" s="23"/>
      <c r="Q247" s="23"/>
    </row>
    <row r="248" spans="14:17">
      <c r="N248" s="23"/>
      <c r="O248" s="23"/>
      <c r="P248" s="23"/>
      <c r="Q248" s="23"/>
    </row>
    <row r="249" spans="14:17">
      <c r="N249" s="23"/>
      <c r="O249" s="23"/>
      <c r="P249" s="23"/>
      <c r="Q249" s="23"/>
    </row>
    <row r="250" spans="14:17">
      <c r="N250" s="23"/>
      <c r="O250" s="23"/>
      <c r="P250" s="23"/>
      <c r="Q250" s="23"/>
    </row>
    <row r="251" spans="14:17">
      <c r="N251" s="23"/>
      <c r="O251" s="23"/>
      <c r="P251" s="23"/>
      <c r="Q251" s="23"/>
    </row>
    <row r="252" spans="14:17">
      <c r="N252" s="23"/>
      <c r="O252" s="23"/>
      <c r="P252" s="23"/>
      <c r="Q252" s="23"/>
    </row>
    <row r="253" spans="14:17">
      <c r="N253" s="23"/>
      <c r="O253" s="23"/>
      <c r="P253" s="23"/>
      <c r="Q253" s="23"/>
    </row>
    <row r="254" spans="14:17">
      <c r="N254" s="23"/>
      <c r="O254" s="23"/>
      <c r="P254" s="23"/>
      <c r="Q254" s="23"/>
    </row>
    <row r="255" spans="14:17">
      <c r="N255" s="23"/>
      <c r="O255" s="23"/>
      <c r="P255" s="23"/>
      <c r="Q255" s="23"/>
    </row>
    <row r="256" spans="14:17">
      <c r="N256" s="23"/>
      <c r="O256" s="23"/>
      <c r="P256" s="23"/>
      <c r="Q256" s="23"/>
    </row>
    <row r="257" spans="14:17">
      <c r="N257" s="23"/>
      <c r="O257" s="23"/>
      <c r="P257" s="23"/>
      <c r="Q257" s="23"/>
    </row>
    <row r="258" spans="14:17">
      <c r="N258" s="23"/>
      <c r="O258" s="23"/>
      <c r="P258" s="23"/>
      <c r="Q258" s="23"/>
    </row>
    <row r="259" spans="14:17">
      <c r="N259" s="23"/>
      <c r="O259" s="23"/>
      <c r="P259" s="23"/>
      <c r="Q259" s="23"/>
    </row>
    <row r="260" spans="14:17">
      <c r="N260" s="23"/>
      <c r="O260" s="23"/>
      <c r="P260" s="23"/>
      <c r="Q260" s="23"/>
    </row>
    <row r="261" spans="14:17">
      <c r="N261" s="23"/>
      <c r="O261" s="23"/>
      <c r="P261" s="23"/>
      <c r="Q261" s="23"/>
    </row>
    <row r="262" spans="14:17">
      <c r="N262" s="23"/>
      <c r="O262" s="23"/>
      <c r="P262" s="23"/>
      <c r="Q262" s="23"/>
    </row>
    <row r="263" spans="14:17">
      <c r="N263" s="23"/>
      <c r="O263" s="23"/>
      <c r="P263" s="23"/>
      <c r="Q263" s="23"/>
    </row>
    <row r="264" spans="14:17">
      <c r="N264" s="23"/>
      <c r="O264" s="23"/>
      <c r="P264" s="23"/>
      <c r="Q264" s="23"/>
    </row>
    <row r="265" spans="14:17">
      <c r="N265" s="23"/>
      <c r="O265" s="23"/>
      <c r="P265" s="23"/>
      <c r="Q265" s="23"/>
    </row>
    <row r="266" spans="14:17">
      <c r="N266" s="23"/>
      <c r="O266" s="23"/>
      <c r="P266" s="23"/>
      <c r="Q266" s="23"/>
    </row>
    <row r="267" spans="14:17">
      <c r="N267" s="23"/>
      <c r="O267" s="23"/>
      <c r="P267" s="23"/>
      <c r="Q267" s="23"/>
    </row>
    <row r="268" spans="14:17">
      <c r="N268" s="23"/>
      <c r="O268" s="23"/>
      <c r="P268" s="23"/>
      <c r="Q268" s="23"/>
    </row>
    <row r="269" spans="14:17">
      <c r="N269" s="23"/>
      <c r="O269" s="23"/>
      <c r="P269" s="23"/>
      <c r="Q269" s="23"/>
    </row>
    <row r="270" spans="14:17">
      <c r="N270" s="23"/>
      <c r="O270" s="23"/>
      <c r="P270" s="23"/>
      <c r="Q270" s="23"/>
    </row>
    <row r="271" spans="14:17">
      <c r="N271" s="23"/>
      <c r="O271" s="23"/>
      <c r="P271" s="23"/>
      <c r="Q271" s="23"/>
    </row>
    <row r="272" spans="14:17">
      <c r="N272" s="23"/>
      <c r="O272" s="23"/>
      <c r="P272" s="23"/>
      <c r="Q272" s="23"/>
    </row>
    <row r="273" spans="14:17">
      <c r="N273" s="23"/>
      <c r="O273" s="23"/>
      <c r="P273" s="23"/>
      <c r="Q273" s="23"/>
    </row>
    <row r="274" spans="14:17">
      <c r="N274" s="23"/>
      <c r="O274" s="23"/>
      <c r="P274" s="23"/>
      <c r="Q274" s="23"/>
    </row>
    <row r="275" spans="14:17">
      <c r="N275" s="23"/>
      <c r="O275" s="23"/>
      <c r="P275" s="23"/>
      <c r="Q275" s="23"/>
    </row>
    <row r="276" spans="14:17">
      <c r="N276" s="23"/>
      <c r="O276" s="23"/>
      <c r="P276" s="23"/>
      <c r="Q276" s="23"/>
    </row>
    <row r="277" spans="14:17">
      <c r="N277" s="23"/>
      <c r="O277" s="23"/>
      <c r="P277" s="23"/>
      <c r="Q277" s="23"/>
    </row>
  </sheetData>
  <sortState xmlns:xlrd2="http://schemas.microsoft.com/office/spreadsheetml/2017/richdata2" ref="D74:O96">
    <sortCondition ref="D74"/>
  </sortState>
  <mergeCells count="299">
    <mergeCell ref="D89:M89"/>
    <mergeCell ref="D92:M92"/>
    <mergeCell ref="R85:U85"/>
    <mergeCell ref="R89:U89"/>
    <mergeCell ref="R88:U88"/>
    <mergeCell ref="R87:U87"/>
    <mergeCell ref="D118:L118"/>
    <mergeCell ref="D119:L119"/>
    <mergeCell ref="D120:L120"/>
    <mergeCell ref="D105:M105"/>
    <mergeCell ref="R95:U95"/>
    <mergeCell ref="R105:U105"/>
    <mergeCell ref="D117:G117"/>
    <mergeCell ref="D98:M98"/>
    <mergeCell ref="R98:U98"/>
    <mergeCell ref="D97:M97"/>
    <mergeCell ref="R97:U97"/>
    <mergeCell ref="D96:M96"/>
    <mergeCell ref="R96:U96"/>
    <mergeCell ref="D90:M90"/>
    <mergeCell ref="R90:U90"/>
    <mergeCell ref="D91:M91"/>
    <mergeCell ref="R91:U91"/>
    <mergeCell ref="R117:U117"/>
    <mergeCell ref="D181:G181"/>
    <mergeCell ref="D182:G182"/>
    <mergeCell ref="I183:K183"/>
    <mergeCell ref="I191:K191"/>
    <mergeCell ref="I192:K192"/>
    <mergeCell ref="D152:L152"/>
    <mergeCell ref="D146:G146"/>
    <mergeCell ref="D156:L156"/>
    <mergeCell ref="D157:L157"/>
    <mergeCell ref="D158:L158"/>
    <mergeCell ref="D147:L147"/>
    <mergeCell ref="D148:L148"/>
    <mergeCell ref="D149:L149"/>
    <mergeCell ref="D150:L150"/>
    <mergeCell ref="D151:L151"/>
    <mergeCell ref="D153:L153"/>
    <mergeCell ref="D154:L154"/>
    <mergeCell ref="D155:L155"/>
    <mergeCell ref="I177:K177"/>
    <mergeCell ref="R104:U104"/>
    <mergeCell ref="R108:U108"/>
    <mergeCell ref="R109:U109"/>
    <mergeCell ref="D103:G103"/>
    <mergeCell ref="R103:U103"/>
    <mergeCell ref="R113:U113"/>
    <mergeCell ref="D107:M107"/>
    <mergeCell ref="R107:U107"/>
    <mergeCell ref="D108:M108"/>
    <mergeCell ref="D106:M106"/>
    <mergeCell ref="R106:U106"/>
    <mergeCell ref="D111:M111"/>
    <mergeCell ref="D110:M110"/>
    <mergeCell ref="D109:M109"/>
    <mergeCell ref="D113:M113"/>
    <mergeCell ref="D112:M112"/>
    <mergeCell ref="R110:U110"/>
    <mergeCell ref="R111:U111"/>
    <mergeCell ref="R112:U112"/>
    <mergeCell ref="D36:H36"/>
    <mergeCell ref="D37:H37"/>
    <mergeCell ref="D38:H38"/>
    <mergeCell ref="D39:H39"/>
    <mergeCell ref="R93:U93"/>
    <mergeCell ref="R92:U92"/>
    <mergeCell ref="R94:U94"/>
    <mergeCell ref="D74:M74"/>
    <mergeCell ref="D76:M76"/>
    <mergeCell ref="D77:M77"/>
    <mergeCell ref="D78:M78"/>
    <mergeCell ref="D79:M79"/>
    <mergeCell ref="D80:M80"/>
    <mergeCell ref="D81:M81"/>
    <mergeCell ref="D82:M82"/>
    <mergeCell ref="D83:M83"/>
    <mergeCell ref="D84:M84"/>
    <mergeCell ref="D85:M85"/>
    <mergeCell ref="D86:M86"/>
    <mergeCell ref="D87:M87"/>
    <mergeCell ref="D88:M88"/>
    <mergeCell ref="R86:U86"/>
    <mergeCell ref="D75:M75"/>
    <mergeCell ref="R75:U75"/>
    <mergeCell ref="D20:G20"/>
    <mergeCell ref="D21:G21"/>
    <mergeCell ref="D30:H30"/>
    <mergeCell ref="R79:U79"/>
    <mergeCell ref="R84:U84"/>
    <mergeCell ref="R83:U83"/>
    <mergeCell ref="R82:U82"/>
    <mergeCell ref="R81:U81"/>
    <mergeCell ref="R80:U80"/>
    <mergeCell ref="R78:U78"/>
    <mergeCell ref="R77:U77"/>
    <mergeCell ref="R76:U76"/>
    <mergeCell ref="D66:G66"/>
    <mergeCell ref="J30:O30"/>
    <mergeCell ref="J31:O31"/>
    <mergeCell ref="J32:O32"/>
    <mergeCell ref="J33:O33"/>
    <mergeCell ref="J36:O36"/>
    <mergeCell ref="J37:O37"/>
    <mergeCell ref="J38:O38"/>
    <mergeCell ref="J39:O39"/>
    <mergeCell ref="D31:H31"/>
    <mergeCell ref="D32:H32"/>
    <mergeCell ref="D33:H33"/>
    <mergeCell ref="W180:Z180"/>
    <mergeCell ref="W181:Z181"/>
    <mergeCell ref="W182:Z182"/>
    <mergeCell ref="D207:G207"/>
    <mergeCell ref="D206:G206"/>
    <mergeCell ref="R159:U159"/>
    <mergeCell ref="R158:U158"/>
    <mergeCell ref="R157:U157"/>
    <mergeCell ref="R156:U156"/>
    <mergeCell ref="D159:L159"/>
    <mergeCell ref="D160:L160"/>
    <mergeCell ref="D161:L161"/>
    <mergeCell ref="D162:L162"/>
    <mergeCell ref="D163:L163"/>
    <mergeCell ref="D164:L164"/>
    <mergeCell ref="D165:L165"/>
    <mergeCell ref="D166:L166"/>
    <mergeCell ref="D167:L167"/>
    <mergeCell ref="D168:L168"/>
    <mergeCell ref="I178:K178"/>
    <mergeCell ref="I179:K179"/>
    <mergeCell ref="I180:K180"/>
    <mergeCell ref="I181:K181"/>
    <mergeCell ref="I182:K182"/>
    <mergeCell ref="D218:G218"/>
    <mergeCell ref="D222:G222"/>
    <mergeCell ref="D223:G223"/>
    <mergeCell ref="D213:G213"/>
    <mergeCell ref="D224:G224"/>
    <mergeCell ref="D197:G197"/>
    <mergeCell ref="D196:G196"/>
    <mergeCell ref="X215:AA215"/>
    <mergeCell ref="D208:G208"/>
    <mergeCell ref="I204:K204"/>
    <mergeCell ref="I205:K205"/>
    <mergeCell ref="I206:K206"/>
    <mergeCell ref="I207:K207"/>
    <mergeCell ref="I208:K208"/>
    <mergeCell ref="I209:K209"/>
    <mergeCell ref="I210:K210"/>
    <mergeCell ref="I211:K211"/>
    <mergeCell ref="I212:K212"/>
    <mergeCell ref="I213:K213"/>
    <mergeCell ref="I214:K214"/>
    <mergeCell ref="I215:K215"/>
    <mergeCell ref="I222:K222"/>
    <mergeCell ref="I223:K223"/>
    <mergeCell ref="I224:K224"/>
    <mergeCell ref="D227:G227"/>
    <mergeCell ref="W226:Z226"/>
    <mergeCell ref="W227:Z227"/>
    <mergeCell ref="D226:G226"/>
    <mergeCell ref="D225:G225"/>
    <mergeCell ref="W222:Z222"/>
    <mergeCell ref="W223:Z223"/>
    <mergeCell ref="W224:Z224"/>
    <mergeCell ref="W225:Z225"/>
    <mergeCell ref="I225:K225"/>
    <mergeCell ref="I226:K226"/>
    <mergeCell ref="I227:K227"/>
    <mergeCell ref="D211:G211"/>
    <mergeCell ref="D212:G212"/>
    <mergeCell ref="D214:G214"/>
    <mergeCell ref="D215:G215"/>
    <mergeCell ref="X204:AA204"/>
    <mergeCell ref="X205:AA205"/>
    <mergeCell ref="X207:AA207"/>
    <mergeCell ref="X208:AA208"/>
    <mergeCell ref="D205:G205"/>
    <mergeCell ref="D204:G204"/>
    <mergeCell ref="X211:AA211"/>
    <mergeCell ref="X212:AA212"/>
    <mergeCell ref="X213:AA213"/>
    <mergeCell ref="X214:AA214"/>
    <mergeCell ref="D209:G209"/>
    <mergeCell ref="X206:AA206"/>
    <mergeCell ref="X210:AA210"/>
    <mergeCell ref="X209:AA209"/>
    <mergeCell ref="D210:G210"/>
    <mergeCell ref="W183:Z183"/>
    <mergeCell ref="D93:M93"/>
    <mergeCell ref="D94:M94"/>
    <mergeCell ref="D95:M95"/>
    <mergeCell ref="D104:M104"/>
    <mergeCell ref="D193:G193"/>
    <mergeCell ref="D194:G194"/>
    <mergeCell ref="D177:G177"/>
    <mergeCell ref="D178:G178"/>
    <mergeCell ref="D101:G101"/>
    <mergeCell ref="D115:G115"/>
    <mergeCell ref="D144:G144"/>
    <mergeCell ref="D175:G175"/>
    <mergeCell ref="D180:G180"/>
    <mergeCell ref="W179:Z179"/>
    <mergeCell ref="R147:U147"/>
    <mergeCell ref="R149:U149"/>
    <mergeCell ref="R168:U168"/>
    <mergeCell ref="R167:U167"/>
    <mergeCell ref="R126:U126"/>
    <mergeCell ref="R133:U133"/>
    <mergeCell ref="R160:U160"/>
    <mergeCell ref="D183:G183"/>
    <mergeCell ref="W177:Z177"/>
    <mergeCell ref="W196:Z196"/>
    <mergeCell ref="D200:G200"/>
    <mergeCell ref="W193:Z193"/>
    <mergeCell ref="W194:Z194"/>
    <mergeCell ref="D186:G186"/>
    <mergeCell ref="W190:Z190"/>
    <mergeCell ref="W191:Z191"/>
    <mergeCell ref="D195:G195"/>
    <mergeCell ref="W195:Z195"/>
    <mergeCell ref="D190:G190"/>
    <mergeCell ref="D191:G191"/>
    <mergeCell ref="W197:Z197"/>
    <mergeCell ref="D192:G192"/>
    <mergeCell ref="W192:Z192"/>
    <mergeCell ref="I197:K197"/>
    <mergeCell ref="I195:K195"/>
    <mergeCell ref="I196:K196"/>
    <mergeCell ref="I193:K193"/>
    <mergeCell ref="I194:K194"/>
    <mergeCell ref="I190:K190"/>
    <mergeCell ref="R161:U161"/>
    <mergeCell ref="R166:U166"/>
    <mergeCell ref="R165:U165"/>
    <mergeCell ref="R164:U164"/>
    <mergeCell ref="R163:U163"/>
    <mergeCell ref="R162:U162"/>
    <mergeCell ref="W178:Z178"/>
    <mergeCell ref="R146:U146"/>
    <mergeCell ref="R141:U141"/>
    <mergeCell ref="R150:U150"/>
    <mergeCell ref="R151:U151"/>
    <mergeCell ref="R148:U148"/>
    <mergeCell ref="R142:U142"/>
    <mergeCell ref="R155:U155"/>
    <mergeCell ref="R154:U154"/>
    <mergeCell ref="R153:U153"/>
    <mergeCell ref="R152:U152"/>
    <mergeCell ref="R140:U140"/>
    <mergeCell ref="R139:U139"/>
    <mergeCell ref="D140:L140"/>
    <mergeCell ref="D141:L141"/>
    <mergeCell ref="D142:L142"/>
    <mergeCell ref="D135:L135"/>
    <mergeCell ref="D136:L136"/>
    <mergeCell ref="D137:L137"/>
    <mergeCell ref="D138:L138"/>
    <mergeCell ref="D139:L139"/>
    <mergeCell ref="R135:U135"/>
    <mergeCell ref="R138:U138"/>
    <mergeCell ref="R137:U137"/>
    <mergeCell ref="R127:U127"/>
    <mergeCell ref="D121:L121"/>
    <mergeCell ref="D122:L122"/>
    <mergeCell ref="D123:L123"/>
    <mergeCell ref="D124:L124"/>
    <mergeCell ref="R122:U122"/>
    <mergeCell ref="R134:U134"/>
    <mergeCell ref="R130:U130"/>
    <mergeCell ref="D129:L129"/>
    <mergeCell ref="D130:L130"/>
    <mergeCell ref="D131:L131"/>
    <mergeCell ref="D132:L132"/>
    <mergeCell ref="D19:G19"/>
    <mergeCell ref="B3:F3"/>
    <mergeCell ref="D179:G179"/>
    <mergeCell ref="D73:G73"/>
    <mergeCell ref="R73:U73"/>
    <mergeCell ref="R74:U74"/>
    <mergeCell ref="R125:U125"/>
    <mergeCell ref="R124:U124"/>
    <mergeCell ref="R123:U123"/>
    <mergeCell ref="R118:U118"/>
    <mergeCell ref="R119:U119"/>
    <mergeCell ref="R120:U120"/>
    <mergeCell ref="D125:L125"/>
    <mergeCell ref="D126:L126"/>
    <mergeCell ref="D127:L127"/>
    <mergeCell ref="D128:L128"/>
    <mergeCell ref="D133:L133"/>
    <mergeCell ref="D134:L134"/>
    <mergeCell ref="R121:U121"/>
    <mergeCell ref="R132:U132"/>
    <mergeCell ref="R131:U131"/>
    <mergeCell ref="R136:U136"/>
    <mergeCell ref="R129:U129"/>
    <mergeCell ref="R128:U128"/>
  </mergeCells>
  <dataValidations count="3">
    <dataValidation type="decimal" operator="greaterThanOrEqual" allowBlank="1" showDropDown="1" showErrorMessage="1" errorTitle="Invalid Assumption" error="Assumption must be a value greater than or equal to zero." sqref="N118:O142 L191:N197 N147:O168 L178:N183 L205:O215 N104:O113 L223:N227 N74:O98" xr:uid="{00000000-0002-0000-2200-000000000000}">
      <formula1>0</formula1>
    </dataValidation>
    <dataValidation type="whole" showDropDown="1" showErrorMessage="1" errorTitle="Drop Down Box Cell Link" error="The value in a drop down box cell link must be a whole number within the control's lookup range rows." sqref="H223:H227 H178:H183 H191:H197 H205:H215" xr:uid="{00000000-0002-0000-2200-000001000000}">
      <formula1>1</formula1>
      <formula2>ROWS(LU_FLU_Curr_Code)</formula2>
    </dataValidation>
    <dataValidation type="custom" showErrorMessage="1" errorTitle="Invalid Assumption" error="Assumption must be a number." sqref="J20:J21 J67:M67" xr:uid="{00000000-0002-0000-2200-000002000000}">
      <formula1>NOT(ISERROR(J20/1))</formula1>
    </dataValidation>
  </dataValidations>
  <hyperlinks>
    <hyperlink ref="A4" location="$B$5" tooltip="Go to Top of Sheet" display="$B$5" xr:uid="{00000000-0004-0000-2200-000000000000}"/>
    <hyperlink ref="B4" location="HL_Sheet_Main_37" tooltip="Go to Previous Sheet" display="HL_Sheet_Main_37" xr:uid="{00000000-0004-0000-2200-000001000000}"/>
    <hyperlink ref="C4" location="HL_Sheet_Main_47" tooltip="Go to Next Sheet" display="HL_Sheet_Main_47" xr:uid="{00000000-0004-0000-2200-000002000000}"/>
    <hyperlink ref="B3" location="HL_Home" tooltip="Go to Table of Contents" display="HL_Home" xr:uid="{00000000-0004-0000-2200-000003000000}"/>
    <hyperlink ref="D4" location="HL_Err_Chk" tooltip="Go to Error Checks" display="HL_Err_Chk" xr:uid="{00000000-0004-0000-2200-000004000000}"/>
    <hyperlink ref="E4" location="HL_Sens_Chk" tooltip="Go to Sensitivity Checks" display="HL_Sens_Chk" xr:uid="{00000000-0004-0000-2200-000005000000}"/>
    <hyperlink ref="F4" location="HL_Alt_Chk" tooltip="Go to Alert Checks" display="HL_Alt_Chk" xr:uid="{00000000-0004-0000-2200-000006000000}"/>
  </hyperlinks>
  <pageMargins left="0.4" right="0.4" top="0.6" bottom="1" header="0" footer="0.3"/>
  <pageSetup orientation="landscape" horizontalDpi="4294967292" verticalDpi="0" r:id="rId1"/>
  <headerFooter>
    <oddFooter>&amp;L&amp;F
&amp;A
Printed: &amp;T on &amp;D&amp;C&amp;",Bold"Sheet d.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8147" r:id="rId4" name="bpmDropDownFLU35">
              <controlPr defaultSize="0" autoFill="0" autoPict="0">
                <anchor moveWithCells="1">
                  <from>
                    <xdr:col>7</xdr:col>
                    <xdr:colOff>0</xdr:colOff>
                    <xdr:row>177</xdr:row>
                    <xdr:rowOff>0</xdr:rowOff>
                  </from>
                  <to>
                    <xdr:col>8</xdr:col>
                    <xdr:colOff>0</xdr:colOff>
                    <xdr:row>178</xdr:row>
                    <xdr:rowOff>0</xdr:rowOff>
                  </to>
                </anchor>
              </controlPr>
            </control>
          </mc:Choice>
        </mc:AlternateContent>
        <mc:AlternateContent xmlns:mc="http://schemas.openxmlformats.org/markup-compatibility/2006">
          <mc:Choice Requires="x14">
            <control shapeId="218148" r:id="rId5" name="bpmDropDownFLU36">
              <controlPr defaultSize="0" autoFill="0" autoPict="0">
                <anchor moveWithCells="1">
                  <from>
                    <xdr:col>7</xdr:col>
                    <xdr:colOff>0</xdr:colOff>
                    <xdr:row>179</xdr:row>
                    <xdr:rowOff>0</xdr:rowOff>
                  </from>
                  <to>
                    <xdr:col>8</xdr:col>
                    <xdr:colOff>0</xdr:colOff>
                    <xdr:row>180</xdr:row>
                    <xdr:rowOff>0</xdr:rowOff>
                  </to>
                </anchor>
              </controlPr>
            </control>
          </mc:Choice>
        </mc:AlternateContent>
        <mc:AlternateContent xmlns:mc="http://schemas.openxmlformats.org/markup-compatibility/2006">
          <mc:Choice Requires="x14">
            <control shapeId="218149" r:id="rId6" name="bpmDropDownFLU37">
              <controlPr defaultSize="0" autoFill="0" autoPict="0">
                <anchor moveWithCells="1">
                  <from>
                    <xdr:col>7</xdr:col>
                    <xdr:colOff>0</xdr:colOff>
                    <xdr:row>180</xdr:row>
                    <xdr:rowOff>0</xdr:rowOff>
                  </from>
                  <to>
                    <xdr:col>8</xdr:col>
                    <xdr:colOff>0</xdr:colOff>
                    <xdr:row>181</xdr:row>
                    <xdr:rowOff>0</xdr:rowOff>
                  </to>
                </anchor>
              </controlPr>
            </control>
          </mc:Choice>
        </mc:AlternateContent>
        <mc:AlternateContent xmlns:mc="http://schemas.openxmlformats.org/markup-compatibility/2006">
          <mc:Choice Requires="x14">
            <control shapeId="218150" r:id="rId7" name="bpmDropDownFLU38">
              <controlPr defaultSize="0" autoFill="0" autoPict="0">
                <anchor moveWithCells="1">
                  <from>
                    <xdr:col>7</xdr:col>
                    <xdr:colOff>0</xdr:colOff>
                    <xdr:row>181</xdr:row>
                    <xdr:rowOff>0</xdr:rowOff>
                  </from>
                  <to>
                    <xdr:col>8</xdr:col>
                    <xdr:colOff>0</xdr:colOff>
                    <xdr:row>182</xdr:row>
                    <xdr:rowOff>0</xdr:rowOff>
                  </to>
                </anchor>
              </controlPr>
            </control>
          </mc:Choice>
        </mc:AlternateContent>
        <mc:AlternateContent xmlns:mc="http://schemas.openxmlformats.org/markup-compatibility/2006">
          <mc:Choice Requires="x14">
            <control shapeId="218151" r:id="rId8" name="bpmDropDownFLU39">
              <controlPr defaultSize="0" autoFill="0" autoPict="0">
                <anchor moveWithCells="1">
                  <from>
                    <xdr:col>7</xdr:col>
                    <xdr:colOff>0</xdr:colOff>
                    <xdr:row>182</xdr:row>
                    <xdr:rowOff>0</xdr:rowOff>
                  </from>
                  <to>
                    <xdr:col>8</xdr:col>
                    <xdr:colOff>0</xdr:colOff>
                    <xdr:row>183</xdr:row>
                    <xdr:rowOff>0</xdr:rowOff>
                  </to>
                </anchor>
              </controlPr>
            </control>
          </mc:Choice>
        </mc:AlternateContent>
        <mc:AlternateContent xmlns:mc="http://schemas.openxmlformats.org/markup-compatibility/2006">
          <mc:Choice Requires="x14">
            <control shapeId="218181" r:id="rId9" name="bpmDropDownFLU69">
              <controlPr defaultSize="0" autoFill="0" autoPict="0">
                <anchor moveWithCells="1">
                  <from>
                    <xdr:col>7</xdr:col>
                    <xdr:colOff>0</xdr:colOff>
                    <xdr:row>190</xdr:row>
                    <xdr:rowOff>0</xdr:rowOff>
                  </from>
                  <to>
                    <xdr:col>8</xdr:col>
                    <xdr:colOff>0</xdr:colOff>
                    <xdr:row>191</xdr:row>
                    <xdr:rowOff>0</xdr:rowOff>
                  </to>
                </anchor>
              </controlPr>
            </control>
          </mc:Choice>
        </mc:AlternateContent>
        <mc:AlternateContent xmlns:mc="http://schemas.openxmlformats.org/markup-compatibility/2006">
          <mc:Choice Requires="x14">
            <control shapeId="218182" r:id="rId10" name="bpmDropDownFLU70">
              <controlPr defaultSize="0" autoFill="0" autoPict="0">
                <anchor moveWithCells="1">
                  <from>
                    <xdr:col>7</xdr:col>
                    <xdr:colOff>0</xdr:colOff>
                    <xdr:row>192</xdr:row>
                    <xdr:rowOff>0</xdr:rowOff>
                  </from>
                  <to>
                    <xdr:col>8</xdr:col>
                    <xdr:colOff>0</xdr:colOff>
                    <xdr:row>193</xdr:row>
                    <xdr:rowOff>0</xdr:rowOff>
                  </to>
                </anchor>
              </controlPr>
            </control>
          </mc:Choice>
        </mc:AlternateContent>
        <mc:AlternateContent xmlns:mc="http://schemas.openxmlformats.org/markup-compatibility/2006">
          <mc:Choice Requires="x14">
            <control shapeId="218183" r:id="rId11" name="bpmDropDownFLU71">
              <controlPr defaultSize="0" autoFill="0" autoPict="0">
                <anchor moveWithCells="1">
                  <from>
                    <xdr:col>7</xdr:col>
                    <xdr:colOff>0</xdr:colOff>
                    <xdr:row>193</xdr:row>
                    <xdr:rowOff>0</xdr:rowOff>
                  </from>
                  <to>
                    <xdr:col>8</xdr:col>
                    <xdr:colOff>0</xdr:colOff>
                    <xdr:row>194</xdr:row>
                    <xdr:rowOff>0</xdr:rowOff>
                  </to>
                </anchor>
              </controlPr>
            </control>
          </mc:Choice>
        </mc:AlternateContent>
        <mc:AlternateContent xmlns:mc="http://schemas.openxmlformats.org/markup-compatibility/2006">
          <mc:Choice Requires="x14">
            <control shapeId="218184" r:id="rId12" name="bpmDropDownFLU72">
              <controlPr defaultSize="0" autoFill="0" autoPict="0">
                <anchor moveWithCells="1">
                  <from>
                    <xdr:col>7</xdr:col>
                    <xdr:colOff>0</xdr:colOff>
                    <xdr:row>194</xdr:row>
                    <xdr:rowOff>0</xdr:rowOff>
                  </from>
                  <to>
                    <xdr:col>8</xdr:col>
                    <xdr:colOff>0</xdr:colOff>
                    <xdr:row>195</xdr:row>
                    <xdr:rowOff>0</xdr:rowOff>
                  </to>
                </anchor>
              </controlPr>
            </control>
          </mc:Choice>
        </mc:AlternateContent>
        <mc:AlternateContent xmlns:mc="http://schemas.openxmlformats.org/markup-compatibility/2006">
          <mc:Choice Requires="x14">
            <control shapeId="218185" r:id="rId13" name="bpmDropDownFLU73">
              <controlPr defaultSize="0" autoFill="0" autoPict="0">
                <anchor moveWithCells="1">
                  <from>
                    <xdr:col>7</xdr:col>
                    <xdr:colOff>0</xdr:colOff>
                    <xdr:row>195</xdr:row>
                    <xdr:rowOff>0</xdr:rowOff>
                  </from>
                  <to>
                    <xdr:col>8</xdr:col>
                    <xdr:colOff>0</xdr:colOff>
                    <xdr:row>196</xdr:row>
                    <xdr:rowOff>0</xdr:rowOff>
                  </to>
                </anchor>
              </controlPr>
            </control>
          </mc:Choice>
        </mc:AlternateContent>
        <mc:AlternateContent xmlns:mc="http://schemas.openxmlformats.org/markup-compatibility/2006">
          <mc:Choice Requires="x14">
            <control shapeId="218186" r:id="rId14" name="bpmDropDownFLU74">
              <controlPr defaultSize="0" autoFill="0" autoPict="0">
                <anchor moveWithCells="1">
                  <from>
                    <xdr:col>7</xdr:col>
                    <xdr:colOff>0</xdr:colOff>
                    <xdr:row>196</xdr:row>
                    <xdr:rowOff>0</xdr:rowOff>
                  </from>
                  <to>
                    <xdr:col>8</xdr:col>
                    <xdr:colOff>0</xdr:colOff>
                    <xdr:row>197</xdr:row>
                    <xdr:rowOff>0</xdr:rowOff>
                  </to>
                </anchor>
              </controlPr>
            </control>
          </mc:Choice>
        </mc:AlternateContent>
        <mc:AlternateContent xmlns:mc="http://schemas.openxmlformats.org/markup-compatibility/2006">
          <mc:Choice Requires="x14">
            <control shapeId="218187" r:id="rId15" name="bpmDropDownFLU75">
              <controlPr defaultSize="0" autoFill="0" autoPict="0">
                <anchor moveWithCells="1">
                  <from>
                    <xdr:col>7</xdr:col>
                    <xdr:colOff>0</xdr:colOff>
                    <xdr:row>204</xdr:row>
                    <xdr:rowOff>0</xdr:rowOff>
                  </from>
                  <to>
                    <xdr:col>8</xdr:col>
                    <xdr:colOff>0</xdr:colOff>
                    <xdr:row>205</xdr:row>
                    <xdr:rowOff>0</xdr:rowOff>
                  </to>
                </anchor>
              </controlPr>
            </control>
          </mc:Choice>
        </mc:AlternateContent>
        <mc:AlternateContent xmlns:mc="http://schemas.openxmlformats.org/markup-compatibility/2006">
          <mc:Choice Requires="x14">
            <control shapeId="218188" r:id="rId16" name="bpmDropDownFLU76">
              <controlPr defaultSize="0" autoFill="0" autoPict="0">
                <anchor moveWithCells="1">
                  <from>
                    <xdr:col>7</xdr:col>
                    <xdr:colOff>0</xdr:colOff>
                    <xdr:row>206</xdr:row>
                    <xdr:rowOff>0</xdr:rowOff>
                  </from>
                  <to>
                    <xdr:col>8</xdr:col>
                    <xdr:colOff>0</xdr:colOff>
                    <xdr:row>207</xdr:row>
                    <xdr:rowOff>0</xdr:rowOff>
                  </to>
                </anchor>
              </controlPr>
            </control>
          </mc:Choice>
        </mc:AlternateContent>
        <mc:AlternateContent xmlns:mc="http://schemas.openxmlformats.org/markup-compatibility/2006">
          <mc:Choice Requires="x14">
            <control shapeId="218191" r:id="rId17" name="bpmDropDownFLU79">
              <controlPr defaultSize="0" autoFill="0" autoPict="0">
                <anchor moveWithCells="1">
                  <from>
                    <xdr:col>7</xdr:col>
                    <xdr:colOff>0</xdr:colOff>
                    <xdr:row>207</xdr:row>
                    <xdr:rowOff>0</xdr:rowOff>
                  </from>
                  <to>
                    <xdr:col>8</xdr:col>
                    <xdr:colOff>0</xdr:colOff>
                    <xdr:row>208</xdr:row>
                    <xdr:rowOff>0</xdr:rowOff>
                  </to>
                </anchor>
              </controlPr>
            </control>
          </mc:Choice>
        </mc:AlternateContent>
        <mc:AlternateContent xmlns:mc="http://schemas.openxmlformats.org/markup-compatibility/2006">
          <mc:Choice Requires="x14">
            <control shapeId="218192" r:id="rId18" name="bpmDropDownFLU80">
              <controlPr defaultSize="0" autoFill="0" autoPict="0">
                <anchor moveWithCells="1">
                  <from>
                    <xdr:col>7</xdr:col>
                    <xdr:colOff>0</xdr:colOff>
                    <xdr:row>208</xdr:row>
                    <xdr:rowOff>0</xdr:rowOff>
                  </from>
                  <to>
                    <xdr:col>8</xdr:col>
                    <xdr:colOff>0</xdr:colOff>
                    <xdr:row>209</xdr:row>
                    <xdr:rowOff>0</xdr:rowOff>
                  </to>
                </anchor>
              </controlPr>
            </control>
          </mc:Choice>
        </mc:AlternateContent>
        <mc:AlternateContent xmlns:mc="http://schemas.openxmlformats.org/markup-compatibility/2006">
          <mc:Choice Requires="x14">
            <control shapeId="218206" r:id="rId19" name="bpmDropDownFLU94">
              <controlPr defaultSize="0" autoFill="0" autoPict="0">
                <anchor moveWithCells="1">
                  <from>
                    <xdr:col>7</xdr:col>
                    <xdr:colOff>0</xdr:colOff>
                    <xdr:row>209</xdr:row>
                    <xdr:rowOff>0</xdr:rowOff>
                  </from>
                  <to>
                    <xdr:col>8</xdr:col>
                    <xdr:colOff>0</xdr:colOff>
                    <xdr:row>210</xdr:row>
                    <xdr:rowOff>0</xdr:rowOff>
                  </to>
                </anchor>
              </controlPr>
            </control>
          </mc:Choice>
        </mc:AlternateContent>
        <mc:AlternateContent xmlns:mc="http://schemas.openxmlformats.org/markup-compatibility/2006">
          <mc:Choice Requires="x14">
            <control shapeId="218221" r:id="rId20" name="bpmDropDownFLU109">
              <controlPr defaultSize="0" autoFill="0" autoPict="0">
                <anchor moveWithCells="1">
                  <from>
                    <xdr:col>7</xdr:col>
                    <xdr:colOff>0</xdr:colOff>
                    <xdr:row>222</xdr:row>
                    <xdr:rowOff>0</xdr:rowOff>
                  </from>
                  <to>
                    <xdr:col>8</xdr:col>
                    <xdr:colOff>0</xdr:colOff>
                    <xdr:row>223</xdr:row>
                    <xdr:rowOff>0</xdr:rowOff>
                  </to>
                </anchor>
              </controlPr>
            </control>
          </mc:Choice>
        </mc:AlternateContent>
        <mc:AlternateContent xmlns:mc="http://schemas.openxmlformats.org/markup-compatibility/2006">
          <mc:Choice Requires="x14">
            <control shapeId="218222" r:id="rId21" name="bpmDropDownFLU110">
              <controlPr defaultSize="0" autoFill="0" autoPict="0">
                <anchor moveWithCells="1">
                  <from>
                    <xdr:col>7</xdr:col>
                    <xdr:colOff>0</xdr:colOff>
                    <xdr:row>223</xdr:row>
                    <xdr:rowOff>0</xdr:rowOff>
                  </from>
                  <to>
                    <xdr:col>8</xdr:col>
                    <xdr:colOff>0</xdr:colOff>
                    <xdr:row>224</xdr:row>
                    <xdr:rowOff>0</xdr:rowOff>
                  </to>
                </anchor>
              </controlPr>
            </control>
          </mc:Choice>
        </mc:AlternateContent>
        <mc:AlternateContent xmlns:mc="http://schemas.openxmlformats.org/markup-compatibility/2006">
          <mc:Choice Requires="x14">
            <control shapeId="218223" r:id="rId22" name="bpmDropDownFLU111">
              <controlPr defaultSize="0" autoFill="0" autoPict="0">
                <anchor moveWithCells="1">
                  <from>
                    <xdr:col>7</xdr:col>
                    <xdr:colOff>0</xdr:colOff>
                    <xdr:row>224</xdr:row>
                    <xdr:rowOff>0</xdr:rowOff>
                  </from>
                  <to>
                    <xdr:col>8</xdr:col>
                    <xdr:colOff>0</xdr:colOff>
                    <xdr:row>225</xdr:row>
                    <xdr:rowOff>0</xdr:rowOff>
                  </to>
                </anchor>
              </controlPr>
            </control>
          </mc:Choice>
        </mc:AlternateContent>
        <mc:AlternateContent xmlns:mc="http://schemas.openxmlformats.org/markup-compatibility/2006">
          <mc:Choice Requires="x14">
            <control shapeId="218224" r:id="rId23" name="bpmDropDownFLU112">
              <controlPr defaultSize="0" autoFill="0" autoPict="0">
                <anchor moveWithCells="1">
                  <from>
                    <xdr:col>7</xdr:col>
                    <xdr:colOff>0</xdr:colOff>
                    <xdr:row>225</xdr:row>
                    <xdr:rowOff>0</xdr:rowOff>
                  </from>
                  <to>
                    <xdr:col>8</xdr:col>
                    <xdr:colOff>0</xdr:colOff>
                    <xdr:row>226</xdr:row>
                    <xdr:rowOff>0</xdr:rowOff>
                  </to>
                </anchor>
              </controlPr>
            </control>
          </mc:Choice>
        </mc:AlternateContent>
        <mc:AlternateContent xmlns:mc="http://schemas.openxmlformats.org/markup-compatibility/2006">
          <mc:Choice Requires="x14">
            <control shapeId="218225" r:id="rId24" name="bpmDropDownFLU113">
              <controlPr defaultSize="0" autoFill="0" autoPict="0">
                <anchor moveWithCells="1">
                  <from>
                    <xdr:col>7</xdr:col>
                    <xdr:colOff>0</xdr:colOff>
                    <xdr:row>226</xdr:row>
                    <xdr:rowOff>0</xdr:rowOff>
                  </from>
                  <to>
                    <xdr:col>8</xdr:col>
                    <xdr:colOff>0</xdr:colOff>
                    <xdr:row>227</xdr:row>
                    <xdr:rowOff>0</xdr:rowOff>
                  </to>
                </anchor>
              </controlPr>
            </control>
          </mc:Choice>
        </mc:AlternateContent>
        <mc:AlternateContent xmlns:mc="http://schemas.openxmlformats.org/markup-compatibility/2006">
          <mc:Choice Requires="x14">
            <control shapeId="218231" r:id="rId25" name="bpmDropDownFLU5">
              <controlPr defaultSize="0" autoFill="0" autoPict="0">
                <anchor moveWithCells="1">
                  <from>
                    <xdr:col>7</xdr:col>
                    <xdr:colOff>0</xdr:colOff>
                    <xdr:row>178</xdr:row>
                    <xdr:rowOff>0</xdr:rowOff>
                  </from>
                  <to>
                    <xdr:col>8</xdr:col>
                    <xdr:colOff>0</xdr:colOff>
                    <xdr:row>179</xdr:row>
                    <xdr:rowOff>0</xdr:rowOff>
                  </to>
                </anchor>
              </controlPr>
            </control>
          </mc:Choice>
        </mc:AlternateContent>
        <mc:AlternateContent xmlns:mc="http://schemas.openxmlformats.org/markup-compatibility/2006">
          <mc:Choice Requires="x14">
            <control shapeId="218310" r:id="rId26" name="bpmDropDownFLU539">
              <controlPr defaultSize="0" autoFill="0" autoPict="0">
                <anchor moveWithCells="1">
                  <from>
                    <xdr:col>7</xdr:col>
                    <xdr:colOff>0</xdr:colOff>
                    <xdr:row>205</xdr:row>
                    <xdr:rowOff>0</xdr:rowOff>
                  </from>
                  <to>
                    <xdr:col>8</xdr:col>
                    <xdr:colOff>0</xdr:colOff>
                    <xdr:row>206</xdr:row>
                    <xdr:rowOff>0</xdr:rowOff>
                  </to>
                </anchor>
              </controlPr>
            </control>
          </mc:Choice>
        </mc:AlternateContent>
        <mc:AlternateContent xmlns:mc="http://schemas.openxmlformats.org/markup-compatibility/2006">
          <mc:Choice Requires="x14">
            <control shapeId="218311" r:id="rId27" name="bpmDropDownFLU592">
              <controlPr defaultSize="0" autoFill="0" autoPict="0">
                <anchor moveWithCells="1">
                  <from>
                    <xdr:col>7</xdr:col>
                    <xdr:colOff>0</xdr:colOff>
                    <xdr:row>191</xdr:row>
                    <xdr:rowOff>0</xdr:rowOff>
                  </from>
                  <to>
                    <xdr:col>8</xdr:col>
                    <xdr:colOff>0</xdr:colOff>
                    <xdr:row>192</xdr:row>
                    <xdr:rowOff>0</xdr:rowOff>
                  </to>
                </anchor>
              </controlPr>
            </control>
          </mc:Choice>
        </mc:AlternateContent>
        <mc:AlternateContent xmlns:mc="http://schemas.openxmlformats.org/markup-compatibility/2006">
          <mc:Choice Requires="x14">
            <control shapeId="218312" r:id="rId28" name="bpmDropDownFLU593">
              <controlPr defaultSize="0" autoFill="0" autoPict="0">
                <anchor moveWithCells="1">
                  <from>
                    <xdr:col>7</xdr:col>
                    <xdr:colOff>0</xdr:colOff>
                    <xdr:row>210</xdr:row>
                    <xdr:rowOff>0</xdr:rowOff>
                  </from>
                  <to>
                    <xdr:col>8</xdr:col>
                    <xdr:colOff>0</xdr:colOff>
                    <xdr:row>211</xdr:row>
                    <xdr:rowOff>0</xdr:rowOff>
                  </to>
                </anchor>
              </controlPr>
            </control>
          </mc:Choice>
        </mc:AlternateContent>
        <mc:AlternateContent xmlns:mc="http://schemas.openxmlformats.org/markup-compatibility/2006">
          <mc:Choice Requires="x14">
            <control shapeId="218313" r:id="rId29" name="bpmDropDownFLU594">
              <controlPr defaultSize="0" autoFill="0" autoPict="0">
                <anchor moveWithCells="1">
                  <from>
                    <xdr:col>7</xdr:col>
                    <xdr:colOff>0</xdr:colOff>
                    <xdr:row>211</xdr:row>
                    <xdr:rowOff>0</xdr:rowOff>
                  </from>
                  <to>
                    <xdr:col>8</xdr:col>
                    <xdr:colOff>0</xdr:colOff>
                    <xdr:row>212</xdr:row>
                    <xdr:rowOff>0</xdr:rowOff>
                  </to>
                </anchor>
              </controlPr>
            </control>
          </mc:Choice>
        </mc:AlternateContent>
        <mc:AlternateContent xmlns:mc="http://schemas.openxmlformats.org/markup-compatibility/2006">
          <mc:Choice Requires="x14">
            <control shapeId="218314" r:id="rId30" name="bpmDropDownFLU595">
              <controlPr defaultSize="0" autoFill="0" autoPict="0">
                <anchor moveWithCells="1">
                  <from>
                    <xdr:col>7</xdr:col>
                    <xdr:colOff>0</xdr:colOff>
                    <xdr:row>212</xdr:row>
                    <xdr:rowOff>0</xdr:rowOff>
                  </from>
                  <to>
                    <xdr:col>8</xdr:col>
                    <xdr:colOff>0</xdr:colOff>
                    <xdr:row>213</xdr:row>
                    <xdr:rowOff>0</xdr:rowOff>
                  </to>
                </anchor>
              </controlPr>
            </control>
          </mc:Choice>
        </mc:AlternateContent>
        <mc:AlternateContent xmlns:mc="http://schemas.openxmlformats.org/markup-compatibility/2006">
          <mc:Choice Requires="x14">
            <control shapeId="218315" r:id="rId31" name="bpmDropDownFLU596">
              <controlPr defaultSize="0" autoFill="0" autoPict="0">
                <anchor moveWithCells="1">
                  <from>
                    <xdr:col>7</xdr:col>
                    <xdr:colOff>0</xdr:colOff>
                    <xdr:row>213</xdr:row>
                    <xdr:rowOff>0</xdr:rowOff>
                  </from>
                  <to>
                    <xdr:col>8</xdr:col>
                    <xdr:colOff>0</xdr:colOff>
                    <xdr:row>214</xdr:row>
                    <xdr:rowOff>0</xdr:rowOff>
                  </to>
                </anchor>
              </controlPr>
            </control>
          </mc:Choice>
        </mc:AlternateContent>
        <mc:AlternateContent xmlns:mc="http://schemas.openxmlformats.org/markup-compatibility/2006">
          <mc:Choice Requires="x14">
            <control shapeId="218316" r:id="rId32" name="bpmDropDownFLU597">
              <controlPr defaultSize="0" autoFill="0" autoPict="0">
                <anchor moveWithCells="1">
                  <from>
                    <xdr:col>7</xdr:col>
                    <xdr:colOff>0</xdr:colOff>
                    <xdr:row>214</xdr:row>
                    <xdr:rowOff>0</xdr:rowOff>
                  </from>
                  <to>
                    <xdr:col>8</xdr:col>
                    <xdr:colOff>0</xdr:colOff>
                    <xdr:row>215</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2">
    <tabColor indexed="10"/>
    <pageSetUpPr autoPageBreaks="0" fitToPage="1"/>
  </sheetPr>
  <dimension ref="C9:G20"/>
  <sheetViews>
    <sheetView showGridLines="0" zoomScaleNormal="100" workbookViewId="0"/>
  </sheetViews>
  <sheetFormatPr defaultColWidth="11.6640625" defaultRowHeight="14.4"/>
  <cols>
    <col min="3" max="6" width="3.6640625" customWidth="1"/>
  </cols>
  <sheetData>
    <row r="9" spans="3:7" ht="21">
      <c r="C9" s="56" t="s">
        <v>98</v>
      </c>
    </row>
    <row r="10" spans="3:7" ht="19.8">
      <c r="C10" s="7" t="s">
        <v>825</v>
      </c>
    </row>
    <row r="11" spans="3:7" ht="18">
      <c r="C11" s="4" t="str">
        <f>Model_Name</f>
        <v>Seasonal Influenza Immunization Costing Tool (SIICT)  - Test Country</v>
      </c>
    </row>
    <row r="12" spans="3:7">
      <c r="C12" s="668" t="s">
        <v>1</v>
      </c>
      <c r="D12" s="668"/>
      <c r="E12" s="668"/>
      <c r="F12" s="668"/>
      <c r="G12" s="668"/>
    </row>
    <row r="13" spans="3:7">
      <c r="C13" s="5" t="s">
        <v>4</v>
      </c>
      <c r="D13" s="6" t="s">
        <v>5</v>
      </c>
    </row>
    <row r="17" spans="3:3">
      <c r="C17" s="2"/>
    </row>
    <row r="18" spans="3:3">
      <c r="C18" s="3"/>
    </row>
    <row r="19" spans="3:3">
      <c r="C19" s="3"/>
    </row>
    <row r="20" spans="3:3">
      <c r="C20" s="3"/>
    </row>
  </sheetData>
  <mergeCells count="1">
    <mergeCell ref="C12:G12"/>
  </mergeCells>
  <hyperlinks>
    <hyperlink ref="D13" location="HL_Sheet_Main_31" tooltip="Go to Next Sheet" display="HL_Sheet_Main_31" xr:uid="{00000000-0004-0000-2300-000000000000}"/>
    <hyperlink ref="C13" location="HL_Sheet_Main_28" tooltip="Go to Previous Sheet" display="HL_Sheet_Main_28" xr:uid="{00000000-0004-0000-2300-000001000000}"/>
    <hyperlink ref="C12" location="HL_Home" tooltip="Go to Table of Contents" display="HL_Home" xr:uid="{00000000-0004-0000-2300-000002000000}"/>
  </hyperlinks>
  <pageMargins left="0.4" right="0.4" top="0.6" bottom="1" header="0" footer="0.3"/>
  <pageSetup orientation="landscape" horizontalDpi="4294967292" verticalDpi="0" r:id="rId1"/>
  <headerFooter>
    <oddFooter>&amp;L&amp;F
&amp;A
Printed: &amp;T on &amp;D&amp;C&amp;",Bold"Sub-Section 3.2.
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29"/>
    <pageSetUpPr autoPageBreaks="0"/>
  </sheetPr>
  <dimension ref="A1:L84"/>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2.33203125" defaultRowHeight="14.4"/>
  <cols>
    <col min="1" max="1" width="3.6640625" style="66" customWidth="1"/>
    <col min="2" max="2" width="2.33203125" style="66" customWidth="1"/>
    <col min="3" max="7" width="2.33203125" style="66"/>
    <col min="8" max="8" width="8.77734375" style="66" customWidth="1"/>
    <col min="9" max="16384" width="2.33203125" style="66"/>
  </cols>
  <sheetData>
    <row r="1" spans="1:12" ht="21">
      <c r="B1" s="101" t="s">
        <v>289</v>
      </c>
    </row>
    <row r="2" spans="1:12" ht="18">
      <c r="B2" s="75" t="str">
        <f>Model_Name</f>
        <v>Seasonal Influenza Immunization Costing Tool (SIICT)  - Test Country</v>
      </c>
    </row>
    <row r="3" spans="1:12">
      <c r="B3" s="695" t="s">
        <v>1</v>
      </c>
      <c r="C3" s="695"/>
      <c r="D3" s="695"/>
      <c r="E3" s="695"/>
      <c r="F3" s="695"/>
      <c r="G3" s="695"/>
      <c r="H3" s="695"/>
      <c r="I3" s="695"/>
      <c r="J3" s="118"/>
      <c r="K3" s="118"/>
      <c r="L3" s="118"/>
    </row>
    <row r="4" spans="1:12">
      <c r="A4" s="67" t="s">
        <v>3</v>
      </c>
      <c r="B4" s="711" t="s">
        <v>4</v>
      </c>
      <c r="C4" s="711"/>
      <c r="D4" s="712" t="s">
        <v>5</v>
      </c>
      <c r="E4" s="712"/>
      <c r="F4" s="683" t="s">
        <v>25</v>
      </c>
      <c r="G4" s="683"/>
      <c r="H4" s="697" t="s">
        <v>26</v>
      </c>
      <c r="I4" s="697"/>
      <c r="J4" s="684" t="s">
        <v>27</v>
      </c>
      <c r="K4" s="684"/>
    </row>
    <row r="7" spans="1:12">
      <c r="D7" s="102" t="s">
        <v>316</v>
      </c>
    </row>
    <row r="8" spans="1:12">
      <c r="D8" s="102"/>
      <c r="F8" s="66" t="s">
        <v>325</v>
      </c>
    </row>
    <row r="9" spans="1:12">
      <c r="D9" s="102"/>
      <c r="F9" s="66" t="s">
        <v>326</v>
      </c>
    </row>
    <row r="10" spans="1:12">
      <c r="D10" s="102"/>
    </row>
    <row r="11" spans="1:12">
      <c r="D11" s="102" t="s">
        <v>317</v>
      </c>
    </row>
    <row r="12" spans="1:12">
      <c r="D12" s="102"/>
      <c r="F12" s="66" t="s">
        <v>318</v>
      </c>
    </row>
    <row r="13" spans="1:12">
      <c r="D13" s="102"/>
      <c r="F13" s="66" t="s">
        <v>319</v>
      </c>
    </row>
    <row r="14" spans="1:12">
      <c r="D14" s="102"/>
      <c r="F14" s="66" t="s">
        <v>320</v>
      </c>
    </row>
    <row r="15" spans="1:12">
      <c r="D15" s="102"/>
    </row>
    <row r="16" spans="1:12">
      <c r="D16" s="102" t="s">
        <v>321</v>
      </c>
    </row>
    <row r="17" spans="4:9">
      <c r="D17" s="102"/>
      <c r="F17" s="66" t="s">
        <v>324</v>
      </c>
    </row>
    <row r="18" spans="4:9">
      <c r="D18" s="102"/>
      <c r="F18" s="66" t="s">
        <v>322</v>
      </c>
    </row>
    <row r="19" spans="4:9">
      <c r="D19" s="102"/>
    </row>
    <row r="20" spans="4:9">
      <c r="D20" s="102" t="s">
        <v>323</v>
      </c>
    </row>
    <row r="21" spans="4:9">
      <c r="D21" s="102"/>
      <c r="F21" s="113" t="s">
        <v>327</v>
      </c>
    </row>
    <row r="22" spans="4:9">
      <c r="D22" s="102"/>
      <c r="F22" s="66" t="s">
        <v>328</v>
      </c>
    </row>
    <row r="23" spans="4:9">
      <c r="D23" s="102"/>
    </row>
    <row r="24" spans="4:9">
      <c r="D24" s="102" t="s">
        <v>329</v>
      </c>
    </row>
    <row r="25" spans="4:9">
      <c r="F25" s="66" t="s">
        <v>330</v>
      </c>
    </row>
    <row r="26" spans="4:9">
      <c r="F26" s="66" t="s">
        <v>302</v>
      </c>
    </row>
    <row r="27" spans="4:9">
      <c r="F27" s="66" t="s">
        <v>303</v>
      </c>
    </row>
    <row r="29" spans="4:9">
      <c r="D29" s="114" t="s">
        <v>331</v>
      </c>
    </row>
    <row r="31" spans="4:9">
      <c r="H31" s="107" t="s">
        <v>291</v>
      </c>
    </row>
    <row r="32" spans="4:9">
      <c r="I32" s="66" t="s">
        <v>301</v>
      </c>
    </row>
    <row r="34" spans="8:10">
      <c r="H34" s="107" t="s">
        <v>290</v>
      </c>
    </row>
    <row r="35" spans="8:10">
      <c r="I35" s="66" t="str">
        <f>"●"&amp;Labels!D19</f>
        <v>●What is the name of the location where this costing is being done?</v>
      </c>
    </row>
    <row r="36" spans="8:10">
      <c r="I36" s="66" t="str">
        <f>"●"&amp;Labels!D23</f>
        <v>●What are the names of the administrative hierarchical divisions in the location (e.g. nation, region, district) which are used in this analysis?</v>
      </c>
    </row>
    <row r="38" spans="8:10" ht="14.25" customHeight="1">
      <c r="H38" s="107" t="s">
        <v>292</v>
      </c>
    </row>
    <row r="39" spans="8:10">
      <c r="I39" s="66" t="s">
        <v>334</v>
      </c>
    </row>
    <row r="40" spans="8:10">
      <c r="I40" s="66" t="s">
        <v>335</v>
      </c>
    </row>
    <row r="41" spans="8:10">
      <c r="J41" s="66" t="s">
        <v>294</v>
      </c>
    </row>
    <row r="42" spans="8:10">
      <c r="J42" s="66" t="s">
        <v>295</v>
      </c>
    </row>
    <row r="43" spans="8:10">
      <c r="J43" s="66" t="s">
        <v>296</v>
      </c>
    </row>
    <row r="44" spans="8:10">
      <c r="J44" s="66" t="s">
        <v>297</v>
      </c>
    </row>
    <row r="45" spans="8:10">
      <c r="J45" s="66" t="s">
        <v>298</v>
      </c>
    </row>
    <row r="46" spans="8:10">
      <c r="J46" s="66" t="s">
        <v>299</v>
      </c>
    </row>
    <row r="47" spans="8:10">
      <c r="J47" s="66" t="s">
        <v>300</v>
      </c>
    </row>
    <row r="48" spans="8:10" ht="20.25" customHeight="1"/>
    <row r="49" spans="8:10" ht="20.25" customHeight="1">
      <c r="H49" s="107" t="s">
        <v>293</v>
      </c>
    </row>
    <row r="50" spans="8:10" ht="20.25" customHeight="1">
      <c r="I50" s="66" t="s">
        <v>304</v>
      </c>
    </row>
    <row r="51" spans="8:10" ht="20.25" customHeight="1">
      <c r="I51" s="66" t="s">
        <v>305</v>
      </c>
    </row>
    <row r="52" spans="8:10" ht="20.25" customHeight="1">
      <c r="I52" s="66" t="s">
        <v>306</v>
      </c>
    </row>
    <row r="53" spans="8:10">
      <c r="I53" s="66" t="s">
        <v>314</v>
      </c>
    </row>
    <row r="54" spans="8:10">
      <c r="I54" s="66" t="s">
        <v>315</v>
      </c>
    </row>
    <row r="55" spans="8:10" ht="13.5" customHeight="1">
      <c r="I55" s="66" t="s">
        <v>307</v>
      </c>
    </row>
    <row r="56" spans="8:10" ht="20.25" customHeight="1">
      <c r="I56" s="66" t="s">
        <v>308</v>
      </c>
    </row>
    <row r="57" spans="8:10" ht="20.25" customHeight="1">
      <c r="I57" s="66" t="s">
        <v>309</v>
      </c>
    </row>
    <row r="58" spans="8:10" ht="20.25" customHeight="1">
      <c r="I58" s="66" t="s">
        <v>310</v>
      </c>
    </row>
    <row r="59" spans="8:10" ht="20.25" customHeight="1"/>
    <row r="60" spans="8:10">
      <c r="H60" s="107" t="s">
        <v>332</v>
      </c>
    </row>
    <row r="61" spans="8:10">
      <c r="I61" s="66" t="s">
        <v>311</v>
      </c>
    </row>
    <row r="62" spans="8:10">
      <c r="J62" s="66" t="s">
        <v>312</v>
      </c>
    </row>
    <row r="63" spans="8:10">
      <c r="J63" s="66" t="s">
        <v>313</v>
      </c>
    </row>
    <row r="65" spans="4:9">
      <c r="H65" s="107" t="s">
        <v>333</v>
      </c>
    </row>
    <row r="66" spans="4:9">
      <c r="I66" s="66" t="s">
        <v>336</v>
      </c>
    </row>
    <row r="67" spans="4:9">
      <c r="I67" s="66" t="s">
        <v>337</v>
      </c>
    </row>
    <row r="68" spans="4:9">
      <c r="I68" s="66" t="s">
        <v>338</v>
      </c>
    </row>
    <row r="69" spans="4:9">
      <c r="I69" s="66" t="s">
        <v>339</v>
      </c>
    </row>
    <row r="70" spans="4:9">
      <c r="I70" s="66" t="s">
        <v>340</v>
      </c>
    </row>
    <row r="71" spans="4:9">
      <c r="I71" s="66" t="s">
        <v>341</v>
      </c>
    </row>
    <row r="73" spans="4:9">
      <c r="D73" s="114" t="s">
        <v>886</v>
      </c>
    </row>
    <row r="74" spans="4:9">
      <c r="H74" s="509" t="s">
        <v>892</v>
      </c>
    </row>
    <row r="75" spans="4:9">
      <c r="H75" s="664">
        <v>44013</v>
      </c>
    </row>
    <row r="76" spans="4:9" ht="15.6">
      <c r="I76" s="663" t="s">
        <v>887</v>
      </c>
    </row>
    <row r="77" spans="4:9" ht="15.6">
      <c r="I77" s="663" t="s">
        <v>888</v>
      </c>
    </row>
    <row r="78" spans="4:9" ht="15.6">
      <c r="I78" s="663" t="s">
        <v>889</v>
      </c>
    </row>
    <row r="79" spans="4:9" ht="15.6">
      <c r="I79" s="663" t="s">
        <v>890</v>
      </c>
    </row>
    <row r="80" spans="4:9" ht="15.6">
      <c r="I80" s="663" t="s">
        <v>891</v>
      </c>
    </row>
    <row r="82" spans="8:9">
      <c r="H82" s="509" t="s">
        <v>895</v>
      </c>
    </row>
    <row r="83" spans="8:9">
      <c r="H83" s="664">
        <v>44013</v>
      </c>
    </row>
    <row r="84" spans="8:9">
      <c r="I84" s="666" t="s">
        <v>896</v>
      </c>
    </row>
  </sheetData>
  <mergeCells count="6">
    <mergeCell ref="J4:K4"/>
    <mergeCell ref="B3:I3"/>
    <mergeCell ref="B4:C4"/>
    <mergeCell ref="D4:E4"/>
    <mergeCell ref="F4:G4"/>
    <mergeCell ref="H4:I4"/>
  </mergeCells>
  <hyperlinks>
    <hyperlink ref="A4" location="$B$5" tooltip="Go to Top of Sheet" display="$B$5" xr:uid="{00000000-0004-0000-2400-000000000000}"/>
    <hyperlink ref="D4" location="HL_Sheet_Main_51" tooltip="Go to Next Sheet" display="HL_Sheet_Main_51" xr:uid="{00000000-0004-0000-2400-000001000000}"/>
    <hyperlink ref="B4" location="HL_Sheet_Main_47" tooltip="Go to Previous Sheet" display="HL_Sheet_Main_47" xr:uid="{00000000-0004-0000-2400-000002000000}"/>
    <hyperlink ref="B3" location="HL_Home" tooltip="Go to Table of Contents" display="HL_Home" xr:uid="{00000000-0004-0000-2400-000003000000}"/>
    <hyperlink ref="F4" location="HL_Err_Chk" tooltip="Go to Error Checks" display="HL_Err_Chk" xr:uid="{00000000-0004-0000-2400-000004000000}"/>
    <hyperlink ref="H4" location="HL_Sens_Chk" tooltip="Go to Sensitivity Checks" display="HL_Sens_Chk" xr:uid="{00000000-0004-0000-2400-000005000000}"/>
    <hyperlink ref="J4" location="HL_Alt_Chk" tooltip="Go to Alert Checks" display="HL_Alt_Chk" xr:uid="{00000000-0004-0000-2400-000006000000}"/>
  </hyperlinks>
  <pageMargins left="0.4" right="0.4" top="0.6" bottom="1" header="0" footer="0.3"/>
  <pageSetup orientation="landscape" horizontalDpi="4294967292" verticalDpi="0" r:id="rId1"/>
  <headerFooter>
    <oddFooter>&amp;L&amp;F
&amp;A
Printed: &amp;T on &amp;D&amp;C&amp;",Bold"Sheet 3.2.b.
Page &amp;P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4">
    <tabColor indexed="12"/>
    <pageSetUpPr autoPageBreaks="0"/>
  </sheetPr>
  <dimension ref="A1:L209"/>
  <sheetViews>
    <sheetView showGridLines="0" zoomScaleNormal="100" workbookViewId="0">
      <pane xSplit="1" ySplit="4" topLeftCell="B5" activePane="bottomRight" state="frozen"/>
      <selection pane="topRight"/>
      <selection pane="bottomLeft"/>
      <selection pane="bottomRight"/>
    </sheetView>
  </sheetViews>
  <sheetFormatPr defaultColWidth="11.6640625" defaultRowHeight="14.4"/>
  <cols>
    <col min="1" max="5" width="3.6640625" customWidth="1"/>
  </cols>
  <sheetData>
    <row r="1" spans="1:12" ht="21">
      <c r="B1" s="56" t="s">
        <v>269</v>
      </c>
    </row>
    <row r="2" spans="1:12" ht="18">
      <c r="B2" s="4" t="str">
        <f>Model_Name</f>
        <v>Seasonal Influenza Immunization Costing Tool (SIICT)  - Test Country</v>
      </c>
    </row>
    <row r="3" spans="1:12">
      <c r="B3" s="668" t="s">
        <v>1</v>
      </c>
      <c r="C3" s="668"/>
      <c r="D3" s="668"/>
      <c r="E3" s="668"/>
      <c r="F3" s="668"/>
    </row>
    <row r="4" spans="1:12">
      <c r="A4" s="54" t="s">
        <v>3</v>
      </c>
      <c r="B4" s="5" t="s">
        <v>4</v>
      </c>
      <c r="C4" s="6" t="s">
        <v>5</v>
      </c>
      <c r="D4" s="394" t="s">
        <v>25</v>
      </c>
      <c r="E4" s="330" t="s">
        <v>26</v>
      </c>
      <c r="F4" s="395" t="s">
        <v>27</v>
      </c>
    </row>
    <row r="15" spans="1:12">
      <c r="L15" s="62"/>
    </row>
    <row r="16" spans="1:12">
      <c r="L16" s="62"/>
    </row>
    <row r="17" spans="12:12">
      <c r="L17" s="62"/>
    </row>
    <row r="18" spans="12:12">
      <c r="L18" s="62"/>
    </row>
    <row r="19" spans="12:12">
      <c r="L19" s="62"/>
    </row>
    <row r="20" spans="12:12">
      <c r="L20" s="62"/>
    </row>
    <row r="21" spans="12:12">
      <c r="L21" s="62"/>
    </row>
    <row r="22" spans="12:12">
      <c r="L22" s="62"/>
    </row>
    <row r="23" spans="12:12">
      <c r="L23" s="62"/>
    </row>
    <row r="24" spans="12:12">
      <c r="L24" s="62"/>
    </row>
    <row r="25" spans="12:12">
      <c r="L25" s="62"/>
    </row>
    <row r="26" spans="12:12">
      <c r="L26" s="62"/>
    </row>
    <row r="27" spans="12:12">
      <c r="L27" s="62"/>
    </row>
    <row r="28" spans="12:12">
      <c r="L28" s="62"/>
    </row>
    <row r="29" spans="12:12">
      <c r="L29" s="62"/>
    </row>
    <row r="30" spans="12:12">
      <c r="L30" s="62"/>
    </row>
    <row r="31" spans="12:12">
      <c r="L31" s="62"/>
    </row>
    <row r="32" spans="12:12">
      <c r="L32" s="62"/>
    </row>
    <row r="33" spans="12:12">
      <c r="L33" s="62"/>
    </row>
    <row r="34" spans="12:12">
      <c r="L34" s="62"/>
    </row>
    <row r="35" spans="12:12">
      <c r="L35" s="62"/>
    </row>
    <row r="36" spans="12:12">
      <c r="L36" s="62"/>
    </row>
    <row r="37" spans="12:12">
      <c r="L37" s="62"/>
    </row>
    <row r="38" spans="12:12">
      <c r="L38" s="62"/>
    </row>
    <row r="39" spans="12:12">
      <c r="L39" s="62"/>
    </row>
    <row r="40" spans="12:12">
      <c r="L40" s="62"/>
    </row>
    <row r="41" spans="12:12">
      <c r="L41" s="62"/>
    </row>
    <row r="42" spans="12:12">
      <c r="L42" s="62"/>
    </row>
    <row r="43" spans="12:12">
      <c r="L43" s="62"/>
    </row>
    <row r="44" spans="12:12">
      <c r="L44" s="62"/>
    </row>
    <row r="45" spans="12:12">
      <c r="L45" s="62"/>
    </row>
    <row r="46" spans="12:12">
      <c r="L46" s="62"/>
    </row>
    <row r="47" spans="12:12">
      <c r="L47" s="62"/>
    </row>
    <row r="48" spans="12:12">
      <c r="L48" s="62"/>
    </row>
    <row r="49" spans="12:12">
      <c r="L49" s="62"/>
    </row>
    <row r="50" spans="12:12">
      <c r="L50" s="62"/>
    </row>
    <row r="51" spans="12:12">
      <c r="L51" s="62"/>
    </row>
    <row r="52" spans="12:12">
      <c r="L52" s="62"/>
    </row>
    <row r="53" spans="12:12">
      <c r="L53" s="62"/>
    </row>
    <row r="54" spans="12:12">
      <c r="L54" s="62"/>
    </row>
    <row r="55" spans="12:12">
      <c r="L55" s="62"/>
    </row>
    <row r="56" spans="12:12">
      <c r="L56" s="62"/>
    </row>
    <row r="57" spans="12:12">
      <c r="L57" s="62"/>
    </row>
    <row r="58" spans="12:12">
      <c r="L58" s="62"/>
    </row>
    <row r="59" spans="12:12">
      <c r="L59" s="62"/>
    </row>
    <row r="60" spans="12:12">
      <c r="L60" s="62"/>
    </row>
    <row r="61" spans="12:12">
      <c r="L61" s="62"/>
    </row>
    <row r="62" spans="12:12">
      <c r="L62" s="62"/>
    </row>
    <row r="63" spans="12:12">
      <c r="L63" s="62"/>
    </row>
    <row r="64" spans="12:12">
      <c r="L64" s="62"/>
    </row>
    <row r="65" spans="12:12">
      <c r="L65" s="62"/>
    </row>
    <row r="66" spans="12:12">
      <c r="L66" s="62"/>
    </row>
    <row r="67" spans="12:12">
      <c r="L67" s="62"/>
    </row>
    <row r="68" spans="12:12">
      <c r="L68" s="62"/>
    </row>
    <row r="69" spans="12:12">
      <c r="L69" s="62"/>
    </row>
    <row r="70" spans="12:12">
      <c r="L70" s="62"/>
    </row>
    <row r="71" spans="12:12">
      <c r="L71" s="62"/>
    </row>
    <row r="72" spans="12:12">
      <c r="L72" s="62"/>
    </row>
    <row r="73" spans="12:12">
      <c r="L73" s="62"/>
    </row>
    <row r="74" spans="12:12">
      <c r="L74" s="62"/>
    </row>
    <row r="75" spans="12:12">
      <c r="L75" s="62"/>
    </row>
    <row r="76" spans="12:12">
      <c r="L76" s="62"/>
    </row>
    <row r="77" spans="12:12">
      <c r="L77" s="62"/>
    </row>
    <row r="78" spans="12:12">
      <c r="L78" s="62"/>
    </row>
    <row r="79" spans="12:12">
      <c r="L79" s="62"/>
    </row>
    <row r="80" spans="12:12">
      <c r="L80" s="62"/>
    </row>
    <row r="81" spans="12:12">
      <c r="L81" s="62"/>
    </row>
    <row r="82" spans="12:12">
      <c r="L82" s="62"/>
    </row>
    <row r="83" spans="12:12">
      <c r="L83" s="62"/>
    </row>
    <row r="84" spans="12:12">
      <c r="L84" s="62"/>
    </row>
    <row r="85" spans="12:12">
      <c r="L85" s="62"/>
    </row>
    <row r="86" spans="12:12">
      <c r="L86" s="62"/>
    </row>
    <row r="87" spans="12:12">
      <c r="L87" s="62"/>
    </row>
    <row r="88" spans="12:12">
      <c r="L88" s="62"/>
    </row>
    <row r="89" spans="12:12">
      <c r="L89" s="62"/>
    </row>
    <row r="90" spans="12:12">
      <c r="L90" s="62"/>
    </row>
    <row r="91" spans="12:12">
      <c r="L91" s="62"/>
    </row>
    <row r="92" spans="12:12">
      <c r="L92" s="62"/>
    </row>
    <row r="93" spans="12:12">
      <c r="L93" s="62"/>
    </row>
    <row r="94" spans="12:12">
      <c r="L94" s="62"/>
    </row>
    <row r="95" spans="12:12">
      <c r="L95" s="62"/>
    </row>
    <row r="96" spans="12:12">
      <c r="L96" s="62"/>
    </row>
    <row r="97" spans="12:12">
      <c r="L97" s="62"/>
    </row>
    <row r="98" spans="12:12">
      <c r="L98" s="62"/>
    </row>
    <row r="99" spans="12:12">
      <c r="L99" s="62"/>
    </row>
    <row r="100" spans="12:12">
      <c r="L100" s="62"/>
    </row>
    <row r="101" spans="12:12">
      <c r="L101" s="62"/>
    </row>
    <row r="102" spans="12:12">
      <c r="L102" s="62"/>
    </row>
    <row r="103" spans="12:12">
      <c r="L103" s="62"/>
    </row>
    <row r="104" spans="12:12">
      <c r="L104" s="62"/>
    </row>
    <row r="105" spans="12:12">
      <c r="L105" s="62"/>
    </row>
    <row r="106" spans="12:12">
      <c r="L106" s="62"/>
    </row>
    <row r="107" spans="12:12">
      <c r="L107" s="62"/>
    </row>
    <row r="108" spans="12:12">
      <c r="L108" s="62"/>
    </row>
    <row r="109" spans="12:12">
      <c r="L109" s="62"/>
    </row>
    <row r="110" spans="12:12">
      <c r="L110" s="62"/>
    </row>
    <row r="111" spans="12:12">
      <c r="L111" s="62"/>
    </row>
    <row r="112" spans="12:12">
      <c r="L112" s="62"/>
    </row>
    <row r="113" spans="12:12">
      <c r="L113" s="62"/>
    </row>
    <row r="114" spans="12:12">
      <c r="L114" s="62"/>
    </row>
    <row r="115" spans="12:12">
      <c r="L115" s="62"/>
    </row>
    <row r="116" spans="12:12">
      <c r="L116" s="62"/>
    </row>
    <row r="117" spans="12:12">
      <c r="L117" s="62"/>
    </row>
    <row r="118" spans="12:12">
      <c r="L118" s="62"/>
    </row>
    <row r="119" spans="12:12">
      <c r="L119" s="62"/>
    </row>
    <row r="120" spans="12:12">
      <c r="L120" s="62"/>
    </row>
    <row r="121" spans="12:12">
      <c r="L121" s="62"/>
    </row>
    <row r="122" spans="12:12">
      <c r="L122" s="62"/>
    </row>
    <row r="123" spans="12:12">
      <c r="L123" s="62"/>
    </row>
    <row r="124" spans="12:12">
      <c r="L124" s="62"/>
    </row>
    <row r="125" spans="12:12">
      <c r="L125" s="62"/>
    </row>
    <row r="126" spans="12:12">
      <c r="L126" s="62"/>
    </row>
    <row r="127" spans="12:12">
      <c r="L127" s="62"/>
    </row>
    <row r="128" spans="12:12">
      <c r="L128" s="62"/>
    </row>
    <row r="129" spans="12:12">
      <c r="L129" s="62"/>
    </row>
    <row r="130" spans="12:12">
      <c r="L130" s="62"/>
    </row>
    <row r="131" spans="12:12">
      <c r="L131" s="62"/>
    </row>
    <row r="132" spans="12:12">
      <c r="L132" s="62"/>
    </row>
    <row r="133" spans="12:12">
      <c r="L133" s="62"/>
    </row>
    <row r="134" spans="12:12">
      <c r="L134" s="62"/>
    </row>
    <row r="135" spans="12:12">
      <c r="L135" s="62"/>
    </row>
    <row r="136" spans="12:12">
      <c r="L136" s="62"/>
    </row>
    <row r="137" spans="12:12">
      <c r="L137" s="62"/>
    </row>
    <row r="138" spans="12:12">
      <c r="L138" s="62"/>
    </row>
    <row r="139" spans="12:12">
      <c r="L139" s="62"/>
    </row>
    <row r="140" spans="12:12">
      <c r="L140" s="62"/>
    </row>
    <row r="141" spans="12:12">
      <c r="L141" s="62"/>
    </row>
    <row r="142" spans="12:12">
      <c r="L142" s="62"/>
    </row>
    <row r="143" spans="12:12">
      <c r="L143" s="62"/>
    </row>
    <row r="144" spans="12:12">
      <c r="L144" s="62"/>
    </row>
    <row r="145" spans="12:12">
      <c r="L145" s="62"/>
    </row>
    <row r="146" spans="12:12">
      <c r="L146" s="62"/>
    </row>
    <row r="147" spans="12:12">
      <c r="L147" s="62"/>
    </row>
    <row r="148" spans="12:12">
      <c r="L148" s="62"/>
    </row>
    <row r="149" spans="12:12">
      <c r="L149" s="62"/>
    </row>
    <row r="150" spans="12:12">
      <c r="L150" s="62"/>
    </row>
    <row r="151" spans="12:12">
      <c r="L151" s="62"/>
    </row>
    <row r="152" spans="12:12">
      <c r="L152" s="62"/>
    </row>
    <row r="153" spans="12:12">
      <c r="L153" s="62"/>
    </row>
    <row r="154" spans="12:12">
      <c r="L154" s="62"/>
    </row>
    <row r="155" spans="12:12">
      <c r="L155" s="62"/>
    </row>
    <row r="156" spans="12:12">
      <c r="L156" s="62"/>
    </row>
    <row r="157" spans="12:12">
      <c r="L157" s="62"/>
    </row>
    <row r="158" spans="12:12">
      <c r="L158" s="62"/>
    </row>
    <row r="159" spans="12:12">
      <c r="L159" s="62"/>
    </row>
    <row r="160" spans="12:12">
      <c r="L160" s="62"/>
    </row>
    <row r="161" spans="12:12">
      <c r="L161" s="62"/>
    </row>
    <row r="162" spans="12:12">
      <c r="L162" s="62"/>
    </row>
    <row r="163" spans="12:12">
      <c r="L163" s="62"/>
    </row>
    <row r="164" spans="12:12">
      <c r="L164" s="62"/>
    </row>
    <row r="165" spans="12:12">
      <c r="L165" s="62"/>
    </row>
    <row r="166" spans="12:12">
      <c r="L166" s="62"/>
    </row>
    <row r="167" spans="12:12">
      <c r="L167" s="62"/>
    </row>
    <row r="168" spans="12:12">
      <c r="L168" s="62"/>
    </row>
    <row r="169" spans="12:12">
      <c r="L169" s="62"/>
    </row>
    <row r="170" spans="12:12">
      <c r="L170" s="62"/>
    </row>
    <row r="171" spans="12:12">
      <c r="L171" s="62"/>
    </row>
    <row r="172" spans="12:12">
      <c r="L172" s="62"/>
    </row>
    <row r="173" spans="12:12">
      <c r="L173" s="62"/>
    </row>
    <row r="174" spans="12:12">
      <c r="L174" s="62"/>
    </row>
    <row r="175" spans="12:12">
      <c r="L175" s="63"/>
    </row>
    <row r="176" spans="12:12">
      <c r="L176" s="62"/>
    </row>
    <row r="177" spans="12:12">
      <c r="L177" s="62"/>
    </row>
    <row r="178" spans="12:12">
      <c r="L178" s="63"/>
    </row>
    <row r="179" spans="12:12">
      <c r="L179" s="62"/>
    </row>
    <row r="180" spans="12:12">
      <c r="L180" s="62"/>
    </row>
    <row r="181" spans="12:12">
      <c r="L181" s="62"/>
    </row>
    <row r="182" spans="12:12">
      <c r="L182" s="62"/>
    </row>
    <row r="183" spans="12:12">
      <c r="L183" s="62"/>
    </row>
    <row r="184" spans="12:12">
      <c r="L184" s="62"/>
    </row>
    <row r="185" spans="12:12">
      <c r="L185" s="62"/>
    </row>
    <row r="186" spans="12:12">
      <c r="L186" s="62"/>
    </row>
    <row r="187" spans="12:12">
      <c r="L187" s="62"/>
    </row>
    <row r="188" spans="12:12">
      <c r="L188" s="62"/>
    </row>
    <row r="189" spans="12:12">
      <c r="L189" s="62"/>
    </row>
    <row r="190" spans="12:12">
      <c r="L190" s="62"/>
    </row>
    <row r="191" spans="12:12">
      <c r="L191" s="62"/>
    </row>
    <row r="192" spans="12:12">
      <c r="L192" s="62"/>
    </row>
    <row r="193" spans="12:12">
      <c r="L193" s="62"/>
    </row>
    <row r="194" spans="12:12">
      <c r="L194" s="62"/>
    </row>
    <row r="195" spans="12:12">
      <c r="L195" s="62"/>
    </row>
    <row r="196" spans="12:12">
      <c r="L196" s="62"/>
    </row>
    <row r="197" spans="12:12">
      <c r="L197" s="62"/>
    </row>
    <row r="198" spans="12:12">
      <c r="L198" s="62"/>
    </row>
    <row r="199" spans="12:12">
      <c r="L199" s="62"/>
    </row>
    <row r="200" spans="12:12">
      <c r="L200" s="62"/>
    </row>
    <row r="201" spans="12:12">
      <c r="L201" s="62"/>
    </row>
    <row r="202" spans="12:12">
      <c r="L202" s="62"/>
    </row>
    <row r="203" spans="12:12">
      <c r="L203" s="62"/>
    </row>
    <row r="204" spans="12:12">
      <c r="L204" s="62"/>
    </row>
    <row r="205" spans="12:12">
      <c r="L205" s="62"/>
    </row>
    <row r="206" spans="12:12">
      <c r="L206" s="62"/>
    </row>
    <row r="207" spans="12:12">
      <c r="L207" s="62"/>
    </row>
    <row r="208" spans="12:12">
      <c r="L208" s="62"/>
    </row>
    <row r="209" spans="12:12">
      <c r="L209" s="62"/>
    </row>
  </sheetData>
  <mergeCells count="1">
    <mergeCell ref="B3:F3"/>
  </mergeCells>
  <hyperlinks>
    <hyperlink ref="A4" location="$B$5" tooltip="Go to Top of Sheet" display="$B$5" xr:uid="{00000000-0004-0000-2500-000000000000}"/>
    <hyperlink ref="B4" location="HL_Sheet_Main_31" tooltip="Go to Previous Sheet" display="HL_Sheet_Main_31" xr:uid="{00000000-0004-0000-2500-000001000000}"/>
    <hyperlink ref="C4" location="HL_Sheet_Main_48" tooltip="Go to Next Sheet" display="HL_Sheet_Main_48" xr:uid="{00000000-0004-0000-2500-000002000000}"/>
    <hyperlink ref="B3" location="HL_Home" tooltip="Go to Table of Contents" display="HL_Home" xr:uid="{00000000-0004-0000-2500-000003000000}"/>
    <hyperlink ref="D4" location="HL_Err_Chk" tooltip="Go to Error Checks" display="HL_Err_Chk" xr:uid="{00000000-0004-0000-2500-000004000000}"/>
    <hyperlink ref="E4" location="HL_Sens_Chk" tooltip="Go to Sensitivity Checks" display="HL_Sens_Chk" xr:uid="{00000000-0004-0000-2500-000005000000}"/>
    <hyperlink ref="F4" location="HL_Alt_Chk" tooltip="Go to Alert Checks" display="HL_Alt_Chk" xr:uid="{00000000-0004-0000-2500-000006000000}"/>
  </hyperlinks>
  <pageMargins left="0.4" right="0.4" top="0.6" bottom="1" header="0" footer="0.3"/>
  <pageSetup orientation="landscape" horizontalDpi="4294967292" verticalDpi="0" r:id="rId1"/>
  <headerFooter>
    <oddFooter>&amp;L&amp;F
&amp;A
Printed: &amp;T on &amp;D&amp;C&amp;",Bold"Sheet 3.2.c.
Page &amp;P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tabColor indexed="10"/>
    <pageSetUpPr autoPageBreaks="0" fitToPage="1"/>
  </sheetPr>
  <dimension ref="C9:G20"/>
  <sheetViews>
    <sheetView showGridLines="0" zoomScaleNormal="100" workbookViewId="0"/>
  </sheetViews>
  <sheetFormatPr defaultColWidth="11.6640625" defaultRowHeight="14.4"/>
  <cols>
    <col min="3" max="6" width="3.6640625" customWidth="1"/>
  </cols>
  <sheetData>
    <row r="9" spans="3:7" ht="21">
      <c r="C9" s="56" t="s">
        <v>99</v>
      </c>
    </row>
    <row r="10" spans="3:7" ht="19.8">
      <c r="C10" s="7" t="s">
        <v>827</v>
      </c>
    </row>
    <row r="11" spans="3:7" ht="18">
      <c r="C11" s="4" t="str">
        <f>Model_Name</f>
        <v>Seasonal Influenza Immunization Costing Tool (SIICT)  - Test Country</v>
      </c>
    </row>
    <row r="12" spans="3:7">
      <c r="C12" s="668" t="s">
        <v>1</v>
      </c>
      <c r="D12" s="668"/>
      <c r="E12" s="668"/>
      <c r="F12" s="668"/>
      <c r="G12" s="668"/>
    </row>
    <row r="13" spans="3:7">
      <c r="C13" s="5" t="s">
        <v>4</v>
      </c>
      <c r="D13" s="6" t="s">
        <v>5</v>
      </c>
    </row>
    <row r="17" spans="3:3">
      <c r="C17" s="2"/>
    </row>
    <row r="18" spans="3:3">
      <c r="C18" s="3"/>
    </row>
    <row r="19" spans="3:3">
      <c r="C19" s="3"/>
    </row>
    <row r="20" spans="3:3">
      <c r="C20" s="3"/>
    </row>
  </sheetData>
  <mergeCells count="1">
    <mergeCell ref="C12:G12"/>
  </mergeCells>
  <hyperlinks>
    <hyperlink ref="D13" location="HL_Sheet_Main_9" tooltip="Go to Next Sheet" display="HL_Sheet_Main_9" xr:uid="{00000000-0004-0000-2600-000000000000}"/>
    <hyperlink ref="C13" location="HL_Sheet_Main_51" tooltip="Go to Previous Sheet" display="HL_Sheet_Main_51" xr:uid="{00000000-0004-0000-2600-000001000000}"/>
    <hyperlink ref="C12" location="HL_Home" tooltip="Go to Table of Contents" display="HL_Home" xr:uid="{00000000-0004-0000-2600-000002000000}"/>
  </hyperlinks>
  <pageMargins left="0.4" right="0.4" top="0.6" bottom="1" header="0" footer="0.3"/>
  <pageSetup orientation="landscape" horizontalDpi="4294967292" verticalDpi="0" r:id="rId1"/>
  <headerFooter>
    <oddFooter>&amp;L&amp;F
&amp;A
Printed: &amp;T on &amp;D&amp;C&amp;",Bold"Sub-Section 3.3.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10"/>
    <pageSetUpPr autoPageBreaks="0" fitToPage="1"/>
  </sheetPr>
  <dimension ref="B4:H18"/>
  <sheetViews>
    <sheetView showGridLines="0" zoomScaleNormal="100" workbookViewId="0"/>
  </sheetViews>
  <sheetFormatPr defaultColWidth="11.6640625" defaultRowHeight="14.4"/>
  <cols>
    <col min="1" max="2" width="11.6640625" style="66"/>
    <col min="3" max="6" width="3.6640625" style="66" customWidth="1"/>
    <col min="7" max="16384" width="11.6640625" style="66"/>
  </cols>
  <sheetData>
    <row r="4" spans="2:8" ht="87.6">
      <c r="B4" s="346" t="s">
        <v>706</v>
      </c>
      <c r="H4" s="345" t="s">
        <v>707</v>
      </c>
    </row>
    <row r="9" spans="2:8" ht="21">
      <c r="C9" s="101" t="s">
        <v>247</v>
      </c>
    </row>
    <row r="10" spans="2:8" ht="19.8">
      <c r="C10" s="100" t="s">
        <v>20</v>
      </c>
    </row>
    <row r="11" spans="2:8" ht="18">
      <c r="C11" s="75" t="str">
        <f>Model_Name</f>
        <v>Seasonal Influenza Immunization Costing Tool (SIICT)  - Test Country</v>
      </c>
    </row>
    <row r="12" spans="2:8">
      <c r="C12" s="695" t="s">
        <v>1</v>
      </c>
      <c r="D12" s="695"/>
      <c r="E12" s="695"/>
      <c r="F12" s="695"/>
      <c r="G12" s="695"/>
    </row>
    <row r="13" spans="2:8">
      <c r="C13" s="149" t="s">
        <v>4</v>
      </c>
      <c r="D13" s="398" t="s">
        <v>5</v>
      </c>
    </row>
    <row r="17" spans="3:3">
      <c r="C17" s="98"/>
    </row>
    <row r="18" spans="3:3">
      <c r="C18" s="99"/>
    </row>
  </sheetData>
  <mergeCells count="1">
    <mergeCell ref="C12:G12"/>
  </mergeCells>
  <hyperlinks>
    <hyperlink ref="C13" location="HL_Sheet_Main_2" tooltip="Go to Previous Sheet" display="HL_Sheet_Main_2" xr:uid="{00000000-0004-0000-0300-000000000000}"/>
    <hyperlink ref="D13" location="HL_Sheet_Main_14" tooltip="Go to Next Sheet" display="HL_Sheet_Main_14" xr:uid="{00000000-0004-0000-0300-000001000000}"/>
    <hyperlink ref="C12" location="HL_Home" tooltip="Go to Table of Contents" display="HL_Home" xr:uid="{00000000-0004-0000-0300-000002000000}"/>
  </hyperlinks>
  <pageMargins left="0.4" right="0.4" top="0.6" bottom="1" header="0" footer="0.3"/>
  <pageSetup orientation="landscape" horizontalDpi="4294967292" verticalDpi="0" r:id="rId1"/>
  <headerFooter>
    <oddFooter>&amp;L&amp;F
&amp;A
Printed: &amp;T on &amp;D&amp;C&amp;",Bold"Section 1.
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1">
    <tabColor indexed="46"/>
    <pageSetUpPr autoPageBreaks="0"/>
  </sheetPr>
  <dimension ref="A1:F90"/>
  <sheetViews>
    <sheetView showGridLines="0" zoomScaleNormal="100" workbookViewId="0">
      <pane xSplit="1" ySplit="4" topLeftCell="B5" activePane="bottomRight" state="frozen"/>
      <selection pane="topRight"/>
      <selection pane="bottomLeft"/>
      <selection pane="bottomRight"/>
    </sheetView>
  </sheetViews>
  <sheetFormatPr defaultColWidth="11.6640625" defaultRowHeight="14.4"/>
  <cols>
    <col min="1" max="3" width="3.6640625" style="134" customWidth="1"/>
    <col min="4" max="4" width="35.6640625" style="134" customWidth="1"/>
    <col min="5" max="5" width="3.6640625" style="134" customWidth="1"/>
    <col min="6" max="6" width="35.6640625" style="134" customWidth="1"/>
    <col min="7" max="7" width="3.6640625" style="134" customWidth="1"/>
    <col min="8" max="16384" width="11.6640625" style="134"/>
  </cols>
  <sheetData>
    <row r="1" spans="1:6" ht="21">
      <c r="B1" s="46" t="s">
        <v>567</v>
      </c>
    </row>
    <row r="2" spans="1:6" ht="18">
      <c r="B2" s="47" t="str">
        <f>Model_Name</f>
        <v>Seasonal Influenza Immunization Costing Tool (SIICT)  - Test Country</v>
      </c>
    </row>
    <row r="3" spans="1:6">
      <c r="B3" s="716" t="s">
        <v>1</v>
      </c>
      <c r="C3" s="716"/>
      <c r="D3" s="716"/>
    </row>
    <row r="4" spans="1:6">
      <c r="A4" s="48" t="s">
        <v>3</v>
      </c>
      <c r="B4" s="49" t="s">
        <v>4</v>
      </c>
      <c r="C4" s="50" t="s">
        <v>5</v>
      </c>
    </row>
    <row r="7" spans="1:6" ht="17.399999999999999">
      <c r="B7" s="15" t="s">
        <v>39</v>
      </c>
    </row>
    <row r="9" spans="1:6" ht="15.6">
      <c r="C9" s="111" t="s">
        <v>40</v>
      </c>
      <c r="F9" s="111" t="s">
        <v>28</v>
      </c>
    </row>
    <row r="11" spans="1:6">
      <c r="D11" s="26" t="s">
        <v>41</v>
      </c>
      <c r="F11" s="68" t="s">
        <v>42</v>
      </c>
    </row>
    <row r="12" spans="1:6">
      <c r="D12" s="27">
        <f>ROWS(D$12:D12)</f>
        <v>1</v>
      </c>
      <c r="F12" s="68"/>
    </row>
    <row r="13" spans="1:6">
      <c r="D13" s="27">
        <f>ROWS(D$12:D13)</f>
        <v>2</v>
      </c>
      <c r="F13" s="68"/>
    </row>
    <row r="14" spans="1:6">
      <c r="D14" s="27">
        <f>ROWS(D$12:D14)</f>
        <v>3</v>
      </c>
      <c r="F14" s="68"/>
    </row>
    <row r="15" spans="1:6">
      <c r="D15" s="27">
        <f>ROWS(D$12:D15)</f>
        <v>4</v>
      </c>
      <c r="F15" s="68"/>
    </row>
    <row r="16" spans="1:6">
      <c r="D16" s="27">
        <f>ROWS(D$12:D16)</f>
        <v>5</v>
      </c>
      <c r="F16" s="68"/>
    </row>
    <row r="17" spans="4:6">
      <c r="D17" s="27">
        <f>ROWS(D$12:D17)</f>
        <v>6</v>
      </c>
      <c r="F17" s="68"/>
    </row>
    <row r="18" spans="4:6">
      <c r="D18" s="27">
        <f>ROWS(D$12:D18)</f>
        <v>7</v>
      </c>
      <c r="F18" s="68"/>
    </row>
    <row r="19" spans="4:6">
      <c r="D19" s="27">
        <f>ROWS(D$12:D19)</f>
        <v>8</v>
      </c>
      <c r="F19" s="68"/>
    </row>
    <row r="20" spans="4:6">
      <c r="D20" s="27">
        <f>ROWS(D$12:D20)</f>
        <v>9</v>
      </c>
      <c r="F20" s="68"/>
    </row>
    <row r="21" spans="4:6">
      <c r="D21" s="27">
        <f>ROWS(D$12:D21)</f>
        <v>10</v>
      </c>
      <c r="F21" s="68"/>
    </row>
    <row r="22" spans="4:6">
      <c r="D22" s="27">
        <f>ROWS(D$12:D22)</f>
        <v>11</v>
      </c>
      <c r="F22" s="68"/>
    </row>
    <row r="23" spans="4:6">
      <c r="D23" s="27">
        <f>ROWS(D$12:D23)</f>
        <v>12</v>
      </c>
      <c r="F23" s="68"/>
    </row>
    <row r="24" spans="4:6">
      <c r="D24" s="27">
        <f>ROWS(D$12:D24)</f>
        <v>13</v>
      </c>
      <c r="F24" s="68"/>
    </row>
    <row r="25" spans="4:6">
      <c r="D25" s="27">
        <f>ROWS(D$12:D25)</f>
        <v>14</v>
      </c>
      <c r="F25" s="68"/>
    </row>
    <row r="26" spans="4:6">
      <c r="D26" s="27">
        <f>ROWS(D$12:D26)</f>
        <v>15</v>
      </c>
      <c r="F26" s="68"/>
    </row>
    <row r="27" spans="4:6">
      <c r="D27" s="27">
        <f>ROWS(D$12:D27)</f>
        <v>16</v>
      </c>
      <c r="F27" s="68"/>
    </row>
    <row r="28" spans="4:6">
      <c r="D28" s="27">
        <f>ROWS(D$12:D28)</f>
        <v>17</v>
      </c>
      <c r="F28" s="68"/>
    </row>
    <row r="29" spans="4:6">
      <c r="D29" s="27">
        <f>ROWS(D$12:D29)</f>
        <v>18</v>
      </c>
      <c r="F29" s="68"/>
    </row>
    <row r="30" spans="4:6">
      <c r="D30" s="27">
        <f>ROWS(D$12:D30)</f>
        <v>19</v>
      </c>
      <c r="F30" s="68"/>
    </row>
    <row r="31" spans="4:6">
      <c r="D31" s="27">
        <f>ROWS(D$12:D31)</f>
        <v>20</v>
      </c>
      <c r="F31" s="68"/>
    </row>
    <row r="32" spans="4:6">
      <c r="D32" s="27">
        <f>ROWS(D$12:D32)</f>
        <v>21</v>
      </c>
      <c r="F32" s="68"/>
    </row>
    <row r="33" spans="3:6">
      <c r="D33" s="27">
        <f>ROWS(D$12:D33)</f>
        <v>22</v>
      </c>
      <c r="F33" s="68"/>
    </row>
    <row r="34" spans="3:6">
      <c r="D34" s="27">
        <f>ROWS(D$12:D34)</f>
        <v>23</v>
      </c>
      <c r="F34" s="68"/>
    </row>
    <row r="35" spans="3:6">
      <c r="D35" s="27">
        <f>ROWS(D$12:D35)</f>
        <v>24</v>
      </c>
      <c r="F35" s="68"/>
    </row>
    <row r="36" spans="3:6">
      <c r="D36" s="27">
        <f>ROWS(D$12:D36)</f>
        <v>25</v>
      </c>
      <c r="F36" s="68"/>
    </row>
    <row r="37" spans="3:6">
      <c r="D37" s="27">
        <f>ROWS(D$12:D37)</f>
        <v>26</v>
      </c>
      <c r="F37" s="68"/>
    </row>
    <row r="38" spans="3:6">
      <c r="D38" s="27">
        <f>ROWS(D$12:D38)</f>
        <v>27</v>
      </c>
      <c r="F38" s="68"/>
    </row>
    <row r="39" spans="3:6">
      <c r="D39" s="27">
        <f>ROWS(D$12:D39)</f>
        <v>28</v>
      </c>
      <c r="F39" s="68"/>
    </row>
    <row r="40" spans="3:6">
      <c r="D40" s="27">
        <f>ROWS(D$12:D40)</f>
        <v>29</v>
      </c>
      <c r="F40" s="68"/>
    </row>
    <row r="41" spans="3:6">
      <c r="D41" s="27">
        <f>ROWS(D$12:D41)</f>
        <v>30</v>
      </c>
      <c r="F41" s="68"/>
    </row>
    <row r="42" spans="3:6">
      <c r="D42" s="27">
        <f>ROWS(D$12:D42)</f>
        <v>31</v>
      </c>
      <c r="F42" s="68"/>
    </row>
    <row r="44" spans="3:6" ht="15.6">
      <c r="C44" s="111" t="s">
        <v>43</v>
      </c>
      <c r="F44" s="111" t="s">
        <v>28</v>
      </c>
    </row>
    <row r="46" spans="3:6">
      <c r="D46" s="26" t="s">
        <v>44</v>
      </c>
      <c r="F46" s="68" t="s">
        <v>45</v>
      </c>
    </row>
    <row r="47" spans="3:6">
      <c r="D47" s="41" t="str">
        <f>TEXT(DATE(1,ROWS(D$47:D47),1),"mmmm")</f>
        <v>January</v>
      </c>
      <c r="F47" s="68"/>
    </row>
    <row r="48" spans="3:6">
      <c r="D48" s="41" t="str">
        <f>TEXT(DATE(1,ROWS(D$47:D48),1),"mmmm")</f>
        <v>February</v>
      </c>
      <c r="F48" s="68"/>
    </row>
    <row r="49" spans="3:6">
      <c r="D49" s="41" t="str">
        <f>TEXT(DATE(1,ROWS(D$47:D49),1),"mmmm")</f>
        <v>March</v>
      </c>
      <c r="F49" s="68"/>
    </row>
    <row r="50" spans="3:6">
      <c r="D50" s="41" t="str">
        <f>TEXT(DATE(1,ROWS(D$47:D50),1),"mmmm")</f>
        <v>April</v>
      </c>
      <c r="F50" s="68"/>
    </row>
    <row r="51" spans="3:6">
      <c r="D51" s="41" t="str">
        <f>TEXT(DATE(1,ROWS(D$47:D51),1),"mmmm")</f>
        <v>May</v>
      </c>
      <c r="F51" s="68"/>
    </row>
    <row r="52" spans="3:6">
      <c r="D52" s="41" t="str">
        <f>TEXT(DATE(1,ROWS(D$47:D52),1),"mmmm")</f>
        <v>June</v>
      </c>
      <c r="F52" s="68"/>
    </row>
    <row r="53" spans="3:6">
      <c r="D53" s="41" t="str">
        <f>TEXT(DATE(1,ROWS(D$47:D53),1),"mmmm")</f>
        <v>July</v>
      </c>
      <c r="F53" s="68"/>
    </row>
    <row r="54" spans="3:6">
      <c r="D54" s="41" t="str">
        <f>TEXT(DATE(1,ROWS(D$47:D54),1),"mmmm")</f>
        <v>August</v>
      </c>
      <c r="F54" s="68"/>
    </row>
    <row r="55" spans="3:6">
      <c r="D55" s="41" t="str">
        <f>TEXT(DATE(1,ROWS(D$47:D55),1),"mmmm")</f>
        <v>September</v>
      </c>
      <c r="F55" s="68"/>
    </row>
    <row r="56" spans="3:6">
      <c r="D56" s="41" t="str">
        <f>TEXT(DATE(1,ROWS(D$47:D56),1),"mmmm")</f>
        <v>October</v>
      </c>
      <c r="F56" s="68"/>
    </row>
    <row r="57" spans="3:6">
      <c r="D57" s="41" t="str">
        <f>TEXT(DATE(1,ROWS(D$47:D57),1),"mmmm")</f>
        <v>November</v>
      </c>
      <c r="F57" s="68"/>
    </row>
    <row r="58" spans="3:6">
      <c r="D58" s="41" t="str">
        <f>TEXT(DATE(1,ROWS(D$47:D58),1),"mmmm")</f>
        <v>December</v>
      </c>
      <c r="F58" s="68"/>
    </row>
    <row r="60" spans="3:6" ht="15.6">
      <c r="C60" s="111" t="s">
        <v>46</v>
      </c>
    </row>
    <row r="62" spans="3:6">
      <c r="D62" s="26" t="s">
        <v>47</v>
      </c>
      <c r="F62" s="68" t="s">
        <v>48</v>
      </c>
    </row>
    <row r="63" spans="3:6">
      <c r="D63" s="40">
        <v>60</v>
      </c>
      <c r="F63" s="68" t="s">
        <v>49</v>
      </c>
    </row>
    <row r="64" spans="3:6">
      <c r="D64" s="40">
        <v>60</v>
      </c>
      <c r="F64" s="68" t="s">
        <v>50</v>
      </c>
    </row>
    <row r="65" spans="3:6">
      <c r="D65" s="40">
        <v>24</v>
      </c>
      <c r="F65" s="68" t="s">
        <v>51</v>
      </c>
    </row>
    <row r="66" spans="3:6">
      <c r="D66" s="40">
        <v>7</v>
      </c>
      <c r="F66" s="68" t="s">
        <v>52</v>
      </c>
    </row>
    <row r="67" spans="3:6">
      <c r="D67" s="40">
        <v>3</v>
      </c>
      <c r="F67" s="68" t="s">
        <v>53</v>
      </c>
    </row>
    <row r="68" spans="3:6">
      <c r="D68" s="40">
        <v>6</v>
      </c>
      <c r="F68" s="68" t="s">
        <v>54</v>
      </c>
    </row>
    <row r="69" spans="3:6">
      <c r="D69" s="40">
        <v>12</v>
      </c>
      <c r="F69" s="68" t="s">
        <v>55</v>
      </c>
    </row>
    <row r="70" spans="3:6">
      <c r="D70" s="40">
        <v>2</v>
      </c>
      <c r="F70" s="68" t="s">
        <v>56</v>
      </c>
    </row>
    <row r="71" spans="3:6">
      <c r="D71" s="40">
        <v>4</v>
      </c>
      <c r="F71" s="68" t="s">
        <v>57</v>
      </c>
    </row>
    <row r="72" spans="3:6">
      <c r="D72" s="40">
        <v>2</v>
      </c>
      <c r="F72" s="68" t="s">
        <v>58</v>
      </c>
    </row>
    <row r="76" spans="3:6" ht="15.6">
      <c r="C76" s="111" t="s">
        <v>59</v>
      </c>
      <c r="F76" s="111" t="s">
        <v>28</v>
      </c>
    </row>
    <row r="78" spans="3:6">
      <c r="D78" s="26" t="s">
        <v>31</v>
      </c>
      <c r="F78" s="68" t="s">
        <v>60</v>
      </c>
    </row>
    <row r="79" spans="3:6">
      <c r="D79" s="42">
        <f>EOMONTH(DATE(TS_First_Fin_Yr-1,DD_TS_Fin_Yr_End_Mth+ROWS(D$79:D79)-1,1),0)+1</f>
        <v>43101</v>
      </c>
      <c r="F79" s="68"/>
    </row>
    <row r="80" spans="3:6">
      <c r="D80" s="42">
        <f>EOMONTH(DATE(TS_First_Fin_Yr-1,DD_TS_Fin_Yr_End_Mth+ROWS(D$79:D80)-1,1),0)+1</f>
        <v>43132</v>
      </c>
      <c r="F80" s="68"/>
    </row>
    <row r="81" spans="4:6">
      <c r="D81" s="42">
        <f>EOMONTH(DATE(TS_First_Fin_Yr-1,DD_TS_Fin_Yr_End_Mth+ROWS(D$79:D81)-1,1),0)+1</f>
        <v>43160</v>
      </c>
      <c r="F81" s="68"/>
    </row>
    <row r="82" spans="4:6">
      <c r="D82" s="42">
        <f>EOMONTH(DATE(TS_First_Fin_Yr-1,DD_TS_Fin_Yr_End_Mth+ROWS(D$79:D82)-1,1),0)+1</f>
        <v>43191</v>
      </c>
      <c r="F82" s="68"/>
    </row>
    <row r="83" spans="4:6">
      <c r="D83" s="42">
        <f>EOMONTH(DATE(TS_First_Fin_Yr-1,DD_TS_Fin_Yr_End_Mth+ROWS(D$79:D83)-1,1),0)+1</f>
        <v>43221</v>
      </c>
      <c r="F83" s="68"/>
    </row>
    <row r="84" spans="4:6">
      <c r="D84" s="42">
        <f>EOMONTH(DATE(TS_First_Fin_Yr-1,DD_TS_Fin_Yr_End_Mth+ROWS(D$79:D84)-1,1),0)+1</f>
        <v>43252</v>
      </c>
      <c r="F84" s="68"/>
    </row>
    <row r="85" spans="4:6">
      <c r="D85" s="42">
        <f>EOMONTH(DATE(TS_First_Fin_Yr-1,DD_TS_Fin_Yr_End_Mth+ROWS(D$79:D85)-1,1),0)+1</f>
        <v>43282</v>
      </c>
      <c r="F85" s="68"/>
    </row>
    <row r="86" spans="4:6">
      <c r="D86" s="42">
        <f>EOMONTH(DATE(TS_First_Fin_Yr-1,DD_TS_Fin_Yr_End_Mth+ROWS(D$79:D86)-1,1),0)+1</f>
        <v>43313</v>
      </c>
      <c r="F86" s="68"/>
    </row>
    <row r="87" spans="4:6">
      <c r="D87" s="42">
        <f>EOMONTH(DATE(TS_First_Fin_Yr-1,DD_TS_Fin_Yr_End_Mth+ROWS(D$79:D87)-1,1),0)+1</f>
        <v>43344</v>
      </c>
      <c r="F87" s="68"/>
    </row>
    <row r="88" spans="4:6">
      <c r="D88" s="42">
        <f>EOMONTH(DATE(TS_First_Fin_Yr-1,DD_TS_Fin_Yr_End_Mth+ROWS(D$79:D88)-1,1),0)+1</f>
        <v>43374</v>
      </c>
      <c r="F88" s="68"/>
    </row>
    <row r="89" spans="4:6">
      <c r="D89" s="42">
        <f>EOMONTH(DATE(TS_First_Fin_Yr-1,DD_TS_Fin_Yr_End_Mth+ROWS(D$79:D89)-1,1),0)+1</f>
        <v>43405</v>
      </c>
      <c r="F89" s="68"/>
    </row>
    <row r="90" spans="4:6">
      <c r="D90" s="42">
        <f>EOMONTH(DATE(TS_First_Fin_Yr-1,DD_TS_Fin_Yr_End_Mth+ROWS(D$79:D90)-1,1),0)+1</f>
        <v>43435</v>
      </c>
      <c r="F90" s="68"/>
    </row>
  </sheetData>
  <mergeCells count="1">
    <mergeCell ref="B3:D3"/>
  </mergeCells>
  <hyperlinks>
    <hyperlink ref="A4" location="$B$5" tooltip="Go to Top of Sheet" display="$B$5" xr:uid="{00000000-0004-0000-2700-000000000000}"/>
    <hyperlink ref="B4" location="HL_Sheet_Main_48" tooltip="Go to Previous Sheet" display="HL_Sheet_Main_48" xr:uid="{00000000-0004-0000-2700-000001000000}"/>
    <hyperlink ref="C4" location="HL_Sheet_Main_27" tooltip="Go to Next Sheet" display="HL_Sheet_Main_27" xr:uid="{00000000-0004-0000-2700-000002000000}"/>
    <hyperlink ref="B3" location="HL_Home" tooltip="Go to Table of Contents" display="HL_Home" xr:uid="{00000000-0004-0000-2700-000003000000}"/>
  </hyperlinks>
  <pageMargins left="0.4" right="0.4" top="0.6" bottom="1" header="0" footer="0.3"/>
  <pageSetup orientation="landscape" horizontalDpi="4294967292" verticalDpi="0" r:id="rId1"/>
  <headerFooter>
    <oddFooter>&amp;L&amp;F
&amp;A
Printed: &amp;T on &amp;D&amp;C&amp;",Bold"Sheet 3.3.a.
Page &amp;P of &amp;N</oddFooter>
  </headerFooter>
  <customProperties>
    <customPr name="LastActive" r:id="rId2"/>
  </customProperties>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7">
    <tabColor indexed="46"/>
    <pageSetUpPr autoPageBreaks="0"/>
  </sheetPr>
  <dimension ref="A1:F425"/>
  <sheetViews>
    <sheetView showGridLines="0" zoomScaleNormal="100" workbookViewId="0">
      <pane xSplit="1" ySplit="4" topLeftCell="B5" activePane="bottomRight" state="frozen"/>
      <selection pane="topRight"/>
      <selection pane="bottomLeft"/>
      <selection pane="bottomRight"/>
    </sheetView>
  </sheetViews>
  <sheetFormatPr defaultColWidth="11.6640625" defaultRowHeight="14.4"/>
  <cols>
    <col min="1" max="3" width="3.6640625" style="134" customWidth="1"/>
    <col min="4" max="4" width="35.6640625" style="134" customWidth="1"/>
    <col min="5" max="5" width="3.6640625" style="134" customWidth="1"/>
    <col min="6" max="6" width="35.6640625" style="134" customWidth="1"/>
    <col min="7" max="7" width="3.6640625" style="134" customWidth="1"/>
    <col min="8" max="16384" width="11.6640625" style="134"/>
  </cols>
  <sheetData>
    <row r="1" spans="1:6" ht="21">
      <c r="B1" s="46" t="s">
        <v>566</v>
      </c>
    </row>
    <row r="2" spans="1:6" ht="18">
      <c r="B2" s="47" t="str">
        <f>Model_Name</f>
        <v>Seasonal Influenza Immunization Costing Tool (SIICT)  - Test Country</v>
      </c>
    </row>
    <row r="3" spans="1:6">
      <c r="B3" s="716" t="s">
        <v>1</v>
      </c>
      <c r="C3" s="716"/>
      <c r="D3" s="716"/>
    </row>
    <row r="4" spans="1:6">
      <c r="A4" s="48" t="s">
        <v>3</v>
      </c>
      <c r="B4" s="49" t="s">
        <v>4</v>
      </c>
      <c r="C4" s="50" t="s">
        <v>5</v>
      </c>
    </row>
    <row r="7" spans="1:6" ht="17.399999999999999">
      <c r="B7" s="15" t="s">
        <v>268</v>
      </c>
    </row>
    <row r="9" spans="1:6" s="23" customFormat="1" ht="15.6">
      <c r="C9" s="111" t="s">
        <v>203</v>
      </c>
      <c r="F9" s="111" t="s">
        <v>28</v>
      </c>
    </row>
    <row r="10" spans="1:6" s="23" customFormat="1"/>
    <row r="11" spans="1:6" s="23" customFormat="1">
      <c r="D11" s="26" t="s">
        <v>204</v>
      </c>
      <c r="F11" s="68" t="s">
        <v>205</v>
      </c>
    </row>
    <row r="12" spans="1:6" s="23" customFormat="1">
      <c r="D12" s="40" t="s">
        <v>206</v>
      </c>
      <c r="F12" s="68"/>
    </row>
    <row r="13" spans="1:6" s="23" customFormat="1">
      <c r="D13" s="40" t="s">
        <v>207</v>
      </c>
      <c r="F13" s="68"/>
    </row>
    <row r="14" spans="1:6" s="23" customFormat="1" ht="15.6">
      <c r="C14" s="111" t="s">
        <v>170</v>
      </c>
      <c r="F14" s="111" t="s">
        <v>28</v>
      </c>
    </row>
    <row r="15" spans="1:6" s="23" customFormat="1">
      <c r="D15" s="12"/>
    </row>
    <row r="16" spans="1:6" s="23" customFormat="1">
      <c r="D16" s="26" t="s">
        <v>170</v>
      </c>
      <c r="F16" s="68" t="s">
        <v>171</v>
      </c>
    </row>
    <row r="17" spans="3:6" s="23" customFormat="1">
      <c r="D17" s="27" t="str">
        <f>Labels!D20</f>
        <v>Test Country</v>
      </c>
      <c r="F17" s="68"/>
    </row>
    <row r="18" spans="3:6" s="23" customFormat="1"/>
    <row r="19" spans="3:6" s="23" customFormat="1"/>
    <row r="20" spans="3:6" s="23" customFormat="1" ht="15.6">
      <c r="C20" s="111" t="s">
        <v>172</v>
      </c>
      <c r="F20" s="111" t="s">
        <v>28</v>
      </c>
    </row>
    <row r="21" spans="3:6" s="23" customFormat="1"/>
    <row r="22" spans="3:6" s="23" customFormat="1">
      <c r="D22" s="26" t="s">
        <v>173</v>
      </c>
      <c r="F22" s="68" t="s">
        <v>174</v>
      </c>
    </row>
    <row r="23" spans="3:6" s="23" customFormat="1">
      <c r="D23" s="40">
        <v>2016</v>
      </c>
      <c r="F23" s="68"/>
    </row>
    <row r="24" spans="3:6" s="23" customFormat="1">
      <c r="D24" s="40">
        <v>2017</v>
      </c>
      <c r="F24" s="68"/>
    </row>
    <row r="25" spans="3:6" s="23" customFormat="1">
      <c r="D25" s="40">
        <v>2018</v>
      </c>
      <c r="F25" s="68"/>
    </row>
    <row r="26" spans="3:6" s="23" customFormat="1">
      <c r="D26" s="40">
        <v>2019</v>
      </c>
      <c r="F26" s="68"/>
    </row>
    <row r="27" spans="3:6" s="23" customFormat="1">
      <c r="D27" s="40">
        <v>2020</v>
      </c>
      <c r="F27" s="68"/>
    </row>
    <row r="28" spans="3:6" s="23" customFormat="1"/>
    <row r="29" spans="3:6" s="23" customFormat="1">
      <c r="D29" s="26" t="s">
        <v>118</v>
      </c>
      <c r="F29" s="68" t="s">
        <v>119</v>
      </c>
    </row>
    <row r="30" spans="3:6" s="23" customFormat="1">
      <c r="D30" s="27" t="str">
        <f>Labels!D25</f>
        <v>Nation</v>
      </c>
      <c r="F30" s="68"/>
    </row>
    <row r="31" spans="3:6" s="23" customFormat="1">
      <c r="D31" s="27" t="str">
        <f>Labels!D26</f>
        <v>Region</v>
      </c>
      <c r="F31" s="68"/>
    </row>
    <row r="32" spans="3:6" s="23" customFormat="1">
      <c r="D32" s="27" t="str">
        <f>Labels!D27</f>
        <v>District</v>
      </c>
      <c r="F32" s="68"/>
    </row>
    <row r="33" spans="3:6">
      <c r="D33" s="23"/>
    </row>
    <row r="34" spans="3:6" s="23" customFormat="1" ht="15.6">
      <c r="C34" s="111" t="s">
        <v>258</v>
      </c>
      <c r="F34" s="111" t="s">
        <v>28</v>
      </c>
    </row>
    <row r="35" spans="3:6" s="23" customFormat="1"/>
    <row r="36" spans="3:6" s="23" customFormat="1">
      <c r="D36" s="26" t="s">
        <v>258</v>
      </c>
      <c r="F36" s="68" t="s">
        <v>259</v>
      </c>
    </row>
    <row r="37" spans="3:6" s="23" customFormat="1">
      <c r="D37" s="27" t="str">
        <f>Labels!H25</f>
        <v>[Not Applicable]</v>
      </c>
      <c r="F37" s="68"/>
    </row>
    <row r="38" spans="3:6" s="23" customFormat="1">
      <c r="D38" s="27" t="str">
        <f>Labels!H26</f>
        <v>Regions</v>
      </c>
      <c r="F38" s="68"/>
    </row>
    <row r="39" spans="3:6" s="23" customFormat="1">
      <c r="D39" s="27" t="str">
        <f>Labels!H27</f>
        <v>Districts</v>
      </c>
      <c r="F39" s="68"/>
    </row>
    <row r="40" spans="3:6" s="23" customFormat="1"/>
    <row r="41" spans="3:6" s="23" customFormat="1" ht="15.6">
      <c r="C41" s="111" t="s">
        <v>261</v>
      </c>
      <c r="F41" s="111" t="s">
        <v>28</v>
      </c>
    </row>
    <row r="42" spans="3:6" s="23" customFormat="1"/>
    <row r="43" spans="3:6" s="23" customFormat="1">
      <c r="D43" s="26" t="s">
        <v>261</v>
      </c>
      <c r="F43" s="68" t="s">
        <v>262</v>
      </c>
    </row>
    <row r="44" spans="3:6" s="23" customFormat="1">
      <c r="D44" s="27" t="str">
        <f>Labels!J25</f>
        <v>National</v>
      </c>
      <c r="F44" s="68"/>
    </row>
    <row r="45" spans="3:6" s="23" customFormat="1">
      <c r="D45" s="27" t="str">
        <f>Labels!J26</f>
        <v>Regional</v>
      </c>
      <c r="F45" s="68"/>
    </row>
    <row r="46" spans="3:6" s="23" customFormat="1">
      <c r="D46" s="27" t="str">
        <f>Labels!J27</f>
        <v>District</v>
      </c>
      <c r="F46" s="68"/>
    </row>
    <row r="47" spans="3:6" s="23" customFormat="1"/>
    <row r="48" spans="3:6" s="23" customFormat="1"/>
    <row r="50" spans="3:6">
      <c r="D50" s="23"/>
    </row>
    <row r="51" spans="3:6" s="23" customFormat="1" ht="15.6">
      <c r="C51" s="111" t="s">
        <v>90</v>
      </c>
      <c r="F51" s="111" t="s">
        <v>28</v>
      </c>
    </row>
    <row r="52" spans="3:6" s="23" customFormat="1"/>
    <row r="53" spans="3:6" s="23" customFormat="1">
      <c r="D53" s="26" t="s">
        <v>110</v>
      </c>
      <c r="F53" s="68" t="s">
        <v>120</v>
      </c>
    </row>
    <row r="54" spans="3:6" s="23" customFormat="1">
      <c r="D54" s="27" t="str">
        <f>TGT_POPS!D28:H28</f>
        <v>Front Line Health Workers working in facilities with more than 200 workers</v>
      </c>
      <c r="F54" s="68"/>
    </row>
    <row r="55" spans="3:6" s="23" customFormat="1">
      <c r="D55" s="229" t="str">
        <f>TGT_POPS!D29:H29</f>
        <v>Front Line Health Workers working in facilities with 100 to 200 workers</v>
      </c>
      <c r="F55" s="68"/>
    </row>
    <row r="56" spans="3:6" s="23" customFormat="1">
      <c r="D56" s="229" t="str">
        <f>TGT_POPS!D30:H30</f>
        <v>Front Line Health Workers working in facilities with fewer than 100 workers</v>
      </c>
      <c r="F56" s="68"/>
    </row>
    <row r="57" spans="3:6" s="23" customFormat="1">
      <c r="D57" s="27">
        <f>TGT_POPS!D34:H34</f>
        <v>0</v>
      </c>
      <c r="F57" s="68"/>
    </row>
    <row r="58" spans="3:6" s="23" customFormat="1">
      <c r="D58" s="27">
        <f>TGT_POPS!D35:H35</f>
        <v>0</v>
      </c>
      <c r="F58" s="68"/>
    </row>
    <row r="59" spans="3:6" s="23" customFormat="1">
      <c r="D59" s="27">
        <f>TGT_POPS!D39:H39</f>
        <v>0</v>
      </c>
      <c r="F59" s="68"/>
    </row>
    <row r="60" spans="3:6" s="23" customFormat="1">
      <c r="D60" s="27">
        <f>TGT_POPS!D40:H40</f>
        <v>0</v>
      </c>
      <c r="F60" s="68"/>
    </row>
    <row r="61" spans="3:6" s="23" customFormat="1">
      <c r="D61" s="27">
        <f>TGT_POPS!D44:H44</f>
        <v>0</v>
      </c>
      <c r="F61" s="68"/>
    </row>
    <row r="62" spans="3:6" s="23" customFormat="1">
      <c r="D62" s="27">
        <f>TGT_POPS!D45:H45</f>
        <v>0</v>
      </c>
      <c r="F62" s="68"/>
    </row>
    <row r="63" spans="3:6" s="23" customFormat="1">
      <c r="D63" s="27">
        <f>TGT_POPS!D46:H46</f>
        <v>0</v>
      </c>
      <c r="F63" s="68"/>
    </row>
    <row r="64" spans="3:6" s="23" customFormat="1">
      <c r="D64" s="27">
        <f>TGT_POPS!D47:H47</f>
        <v>0</v>
      </c>
      <c r="F64" s="68"/>
    </row>
    <row r="65" spans="3:6" s="23" customFormat="1">
      <c r="D65" s="27">
        <f>TGT_POPS!D48:H48</f>
        <v>0</v>
      </c>
      <c r="F65" s="68"/>
    </row>
    <row r="66" spans="3:6">
      <c r="D66" s="23"/>
    </row>
    <row r="67" spans="3:6" s="23" customFormat="1"/>
    <row r="69" spans="3:6" s="23" customFormat="1" ht="15.6">
      <c r="C69" s="111" t="s">
        <v>113</v>
      </c>
      <c r="F69" s="111" t="s">
        <v>28</v>
      </c>
    </row>
    <row r="70" spans="3:6" s="23" customFormat="1"/>
    <row r="71" spans="3:6" s="23" customFormat="1">
      <c r="D71" s="26" t="s">
        <v>117</v>
      </c>
      <c r="F71" s="68" t="s">
        <v>121</v>
      </c>
    </row>
    <row r="72" spans="3:6" s="23" customFormat="1">
      <c r="D72" s="27" t="str">
        <f>Cost_Ingredients!D20</f>
        <v>US Dollars</v>
      </c>
      <c r="F72" s="68"/>
    </row>
    <row r="73" spans="3:6" s="23" customFormat="1">
      <c r="D73" s="27" t="str">
        <f>Cost_Ingredients!D21</f>
        <v>Gozintas</v>
      </c>
      <c r="F73" s="68"/>
    </row>
    <row r="75" spans="3:6" s="23" customFormat="1" ht="15.6">
      <c r="C75" s="111" t="s">
        <v>65</v>
      </c>
      <c r="F75" s="111" t="s">
        <v>28</v>
      </c>
    </row>
    <row r="76" spans="3:6" s="23" customFormat="1"/>
    <row r="77" spans="3:6" s="23" customFormat="1">
      <c r="D77" s="26" t="s">
        <v>66</v>
      </c>
      <c r="F77" s="68" t="s">
        <v>125</v>
      </c>
    </row>
    <row r="78" spans="3:6" s="23" customFormat="1">
      <c r="D78" s="27" t="str">
        <f>Cost_Ingredients!H20</f>
        <v>USD</v>
      </c>
      <c r="F78" s="68"/>
    </row>
    <row r="79" spans="3:6" s="23" customFormat="1">
      <c r="D79" s="27" t="str">
        <f>Cost_Ingredients!H21</f>
        <v>GOZ</v>
      </c>
      <c r="F79" s="68"/>
    </row>
    <row r="80" spans="3:6" s="23" customFormat="1"/>
    <row r="81" spans="3:6" s="23" customFormat="1" ht="15.6">
      <c r="C81" s="111" t="s">
        <v>559</v>
      </c>
      <c r="F81" s="111" t="s">
        <v>28</v>
      </c>
    </row>
    <row r="82" spans="3:6" s="23" customFormat="1"/>
    <row r="83" spans="3:6" s="23" customFormat="1">
      <c r="D83" s="26" t="s">
        <v>559</v>
      </c>
      <c r="F83" s="68" t="s">
        <v>561</v>
      </c>
    </row>
    <row r="84" spans="3:6" s="23" customFormat="1">
      <c r="D84" s="170">
        <f>Financial!I$16</f>
        <v>150</v>
      </c>
      <c r="F84" s="68"/>
    </row>
    <row r="85" spans="3:6" s="23" customFormat="1"/>
    <row r="86" spans="3:6" s="23" customFormat="1"/>
    <row r="87" spans="3:6" s="23" customFormat="1"/>
    <row r="88" spans="3:6" s="23" customFormat="1"/>
    <row r="89" spans="3:6" s="23" customFormat="1"/>
    <row r="90" spans="3:6" s="23" customFormat="1"/>
    <row r="91" spans="3:6" s="23" customFormat="1"/>
    <row r="92" spans="3:6" s="23" customFormat="1" ht="15.6">
      <c r="C92" s="111" t="s">
        <v>122</v>
      </c>
      <c r="F92" s="111" t="s">
        <v>28</v>
      </c>
    </row>
    <row r="93" spans="3:6" s="23" customFormat="1"/>
    <row r="94" spans="3:6" s="23" customFormat="1">
      <c r="D94" s="26" t="s">
        <v>123</v>
      </c>
      <c r="F94" s="68" t="s">
        <v>124</v>
      </c>
    </row>
    <row r="95" spans="3:6" s="23" customFormat="1">
      <c r="D95" s="27" t="str">
        <f>PROCUR!F48</f>
        <v>Single Vaccine Dose in Prefilled Auto-Destruct Syringe</v>
      </c>
      <c r="F95" s="68"/>
    </row>
    <row r="96" spans="3:6" s="23" customFormat="1">
      <c r="D96" s="27" t="str">
        <f>PROCUR!F49</f>
        <v>Single Vaccine Dose in Vial</v>
      </c>
      <c r="F96" s="68"/>
    </row>
    <row r="98" spans="3:6" s="23" customFormat="1" ht="15.6">
      <c r="C98" s="111" t="s">
        <v>210</v>
      </c>
      <c r="F98" s="111" t="s">
        <v>28</v>
      </c>
    </row>
    <row r="99" spans="3:6" s="23" customFormat="1"/>
    <row r="100" spans="3:6" s="23" customFormat="1">
      <c r="D100" s="26" t="s">
        <v>211</v>
      </c>
      <c r="F100" s="68" t="s">
        <v>212</v>
      </c>
    </row>
    <row r="101" spans="3:6" s="23" customFormat="1">
      <c r="D101" s="27" t="str">
        <f>Reference_Data_BA!C12</f>
        <v>AGRIFLU</v>
      </c>
      <c r="F101" s="68"/>
    </row>
    <row r="102" spans="3:6" s="23" customFormat="1">
      <c r="D102" s="27" t="str">
        <f>Reference_Data_BA!C13</f>
        <v>FluLaval</v>
      </c>
      <c r="F102" s="68"/>
    </row>
    <row r="103" spans="3:6" s="23" customFormat="1">
      <c r="D103" s="27" t="str">
        <f>Reference_Data_BA!C14</f>
        <v>Fluvirin</v>
      </c>
      <c r="F103" s="68"/>
    </row>
    <row r="104" spans="3:6" s="23" customFormat="1">
      <c r="D104" s="27" t="str">
        <f>Reference_Data_BA!C15</f>
        <v>Fluzone</v>
      </c>
      <c r="F104" s="68"/>
    </row>
    <row r="105" spans="3:6" s="23" customFormat="1">
      <c r="D105" s="27" t="str">
        <f>Reference_Data_BA!C16</f>
        <v>Fluzone</v>
      </c>
      <c r="F105" s="68"/>
    </row>
    <row r="106" spans="3:6" s="23" customFormat="1">
      <c r="D106" s="27" t="str">
        <f>Reference_Data_BA!C17</f>
        <v>GC FLU inj</v>
      </c>
      <c r="F106" s="68"/>
    </row>
    <row r="107" spans="3:6" s="23" customFormat="1">
      <c r="D107" s="27" t="str">
        <f>Reference_Data_BA!C18</f>
        <v>GC FLU Multi inj.</v>
      </c>
      <c r="F107" s="68"/>
    </row>
    <row r="108" spans="3:6" s="23" customFormat="1">
      <c r="D108" s="27" t="str">
        <f>Reference_Data_BA!C19</f>
        <v>Influenza Vaccine (Split virion, inactivated)</v>
      </c>
      <c r="F108" s="68"/>
    </row>
    <row r="109" spans="3:6" s="23" customFormat="1">
      <c r="D109" s="27" t="str">
        <f>Reference_Data_BA!C20</f>
        <v>Nasovac-S Influenza Vaccine, Live, Attenuated (Human)</v>
      </c>
      <c r="F109" s="68"/>
    </row>
    <row r="110" spans="3:6" s="23" customFormat="1">
      <c r="D110" s="229" t="str">
        <f>Reference_Data_BA!C21</f>
        <v>Vaxigrip</v>
      </c>
      <c r="F110" s="68"/>
    </row>
    <row r="111" spans="3:6" s="23" customFormat="1">
      <c r="D111" s="229" t="str">
        <f>Reference_Data_BA!C22</f>
        <v>Fluzone Quadrivalent</v>
      </c>
      <c r="F111" s="68"/>
    </row>
    <row r="112" spans="3:6" s="23" customFormat="1">
      <c r="D112" s="229" t="str">
        <f>Reference_Data_BA!C23</f>
        <v>Fluzone Quadrivalent</v>
      </c>
      <c r="F112" s="68"/>
    </row>
    <row r="113" spans="3:6" s="23" customFormat="1">
      <c r="D113" s="229" t="str">
        <f>Reference_Data_BA!C24</f>
        <v>GCFLU Quadrivalent inj.</v>
      </c>
      <c r="F113" s="68"/>
    </row>
    <row r="114" spans="3:6" s="23" customFormat="1">
      <c r="D114" s="229" t="str">
        <f>Reference_Data_BA!C25</f>
        <v>GCFLU Quadrivalent Multi inj.</v>
      </c>
      <c r="F114" s="68"/>
    </row>
    <row r="117" spans="3:6" s="23" customFormat="1"/>
    <row r="118" spans="3:6" s="23" customFormat="1" ht="15.6">
      <c r="C118" s="111" t="s">
        <v>448</v>
      </c>
      <c r="F118" s="111" t="s">
        <v>28</v>
      </c>
    </row>
    <row r="119" spans="3:6" s="23" customFormat="1"/>
    <row r="120" spans="3:6" s="23" customFormat="1">
      <c r="D120" s="26" t="s">
        <v>449</v>
      </c>
      <c r="F120" s="68" t="s">
        <v>450</v>
      </c>
    </row>
    <row r="121" spans="3:6" s="23" customFormat="1">
      <c r="D121" s="40" t="s">
        <v>451</v>
      </c>
      <c r="F121" s="68"/>
    </row>
    <row r="122" spans="3:6" s="23" customFormat="1">
      <c r="D122" s="40" t="s">
        <v>452</v>
      </c>
      <c r="F122" s="68"/>
    </row>
    <row r="123" spans="3:6" s="23" customFormat="1"/>
    <row r="124" spans="3:6" s="23" customFormat="1" ht="15.6">
      <c r="C124" s="111" t="s">
        <v>453</v>
      </c>
      <c r="F124" s="111" t="s">
        <v>28</v>
      </c>
    </row>
    <row r="125" spans="3:6" s="23" customFormat="1"/>
    <row r="126" spans="3:6" s="23" customFormat="1">
      <c r="D126" s="26" t="s">
        <v>454</v>
      </c>
      <c r="F126" s="68" t="s">
        <v>455</v>
      </c>
    </row>
    <row r="127" spans="3:6" s="23" customFormat="1">
      <c r="D127" s="40" t="s">
        <v>456</v>
      </c>
      <c r="F127" s="68"/>
    </row>
    <row r="128" spans="3:6" s="23" customFormat="1">
      <c r="D128" s="40" t="s">
        <v>457</v>
      </c>
      <c r="F128" s="68"/>
    </row>
    <row r="129" spans="3:6" s="23" customFormat="1">
      <c r="D129" s="40" t="s">
        <v>458</v>
      </c>
      <c r="F129" s="68"/>
    </row>
    <row r="130" spans="3:6" s="23" customFormat="1"/>
    <row r="131" spans="3:6" s="23" customFormat="1" ht="15.6">
      <c r="C131" s="111" t="s">
        <v>126</v>
      </c>
      <c r="F131" s="111" t="s">
        <v>28</v>
      </c>
    </row>
    <row r="132" spans="3:6" s="23" customFormat="1"/>
    <row r="133" spans="3:6" s="23" customFormat="1">
      <c r="D133" s="26" t="s">
        <v>126</v>
      </c>
      <c r="F133" s="68" t="s">
        <v>127</v>
      </c>
    </row>
    <row r="134" spans="3:6" s="23" customFormat="1">
      <c r="D134" s="27" t="str">
        <f>Cost_Ingredients!D74</f>
        <v>&lt;select from this drop-down list&gt;</v>
      </c>
      <c r="F134" s="68"/>
    </row>
    <row r="135" spans="3:6" s="61" customFormat="1">
      <c r="D135" s="311" t="str">
        <f>Cost_Ingredients!D75</f>
        <v>Accountant (IPH)</v>
      </c>
      <c r="F135" s="312"/>
    </row>
    <row r="136" spans="3:6" s="23" customFormat="1">
      <c r="D136" s="27" t="str">
        <f>Cost_Ingredients!D76</f>
        <v>DPH Finance Officer</v>
      </c>
      <c r="F136" s="68"/>
    </row>
    <row r="137" spans="3:6" s="23" customFormat="1">
      <c r="D137" s="27" t="str">
        <f>Cost_Ingredients!D77</f>
        <v>DPH Head of Vaccinators</v>
      </c>
      <c r="F137" s="68"/>
    </row>
    <row r="138" spans="3:6" s="23" customFormat="1">
      <c r="D138" s="27" t="str">
        <f>Cost_Ingredients!D78</f>
        <v>Driver (IPH)</v>
      </c>
      <c r="F138" s="68"/>
    </row>
    <row r="139" spans="3:6" s="23" customFormat="1">
      <c r="D139" s="27" t="str">
        <f>Cost_Ingredients!D79</f>
        <v>Epidemiologist</v>
      </c>
      <c r="F139" s="68"/>
    </row>
    <row r="140" spans="3:6" s="23" customFormat="1">
      <c r="D140" s="27" t="str">
        <f>Cost_Ingredients!D80</f>
        <v>Epidemiologist - Infectious Disease (IPH)</v>
      </c>
      <c r="F140" s="68"/>
    </row>
    <row r="141" spans="3:6" s="23" customFormat="1">
      <c r="D141" s="27" t="str">
        <f>Cost_Ingredients!D81</f>
        <v>Head - Infectious Disease Control Dept</v>
      </c>
      <c r="F141" s="68"/>
    </row>
    <row r="142" spans="3:6" s="23" customFormat="1">
      <c r="D142" s="27" t="str">
        <f>Cost_Ingredients!D82</f>
        <v>Logistician (IPH)</v>
      </c>
      <c r="F142" s="68"/>
    </row>
    <row r="143" spans="3:6" s="23" customFormat="1">
      <c r="D143" s="27" t="str">
        <f>Cost_Ingredients!D83</f>
        <v>Medical Doctor (Infection Specialist)</v>
      </c>
      <c r="F143" s="68"/>
    </row>
    <row r="144" spans="3:6" s="23" customFormat="1">
      <c r="D144" s="27" t="str">
        <f>Cost_Ingredients!D84</f>
        <v>Medical Doctor (Tertiary - nozokomial)</v>
      </c>
      <c r="F144" s="68"/>
    </row>
    <row r="145" spans="4:6" s="23" customFormat="1">
      <c r="D145" s="27" t="str">
        <f>Cost_Ingredients!D85</f>
        <v>Nurse</v>
      </c>
      <c r="F145" s="68"/>
    </row>
    <row r="146" spans="4:6" s="23" customFormat="1">
      <c r="D146" s="27" t="str">
        <f>Cost_Ingredients!D86</f>
        <v>Pharmacist - (Tertiary)</v>
      </c>
      <c r="F146" s="68"/>
    </row>
    <row r="147" spans="4:6" s="23" customFormat="1">
      <c r="D147" s="27" t="str">
        <f>Cost_Ingredients!D87</f>
        <v>Pharmacist (Secondary)</v>
      </c>
      <c r="F147" s="68"/>
    </row>
    <row r="148" spans="4:6" s="23" customFormat="1">
      <c r="D148" s="27" t="str">
        <f>Cost_Ingredients!D88</f>
        <v>Pharmacist Assistant</v>
      </c>
      <c r="F148" s="68"/>
    </row>
    <row r="149" spans="4:6" s="23" customFormat="1">
      <c r="D149" s="27" t="str">
        <f>Cost_Ingredients!D89</f>
        <v>Program Assistant (IPH)</v>
      </c>
      <c r="F149" s="68"/>
    </row>
    <row r="150" spans="4:6" s="61" customFormat="1">
      <c r="D150" s="311" t="str">
        <f>Cost_Ingredients!D90</f>
        <v>Program Manager (IPH)</v>
      </c>
      <c r="F150" s="312"/>
    </row>
    <row r="151" spans="4:6" s="61" customFormat="1">
      <c r="D151" s="311" t="str">
        <f>Cost_Ingredients!D91</f>
        <v>Program Officer (IPH)</v>
      </c>
      <c r="F151" s="312"/>
    </row>
    <row r="152" spans="4:6" s="23" customFormat="1">
      <c r="D152" s="27" t="str">
        <f>Cost_Ingredients!D92</f>
        <v>Registered Nurse (Primary)</v>
      </c>
      <c r="F152" s="68"/>
    </row>
    <row r="153" spans="4:6" s="23" customFormat="1">
      <c r="D153" s="27" t="str">
        <f>Cost_Ingredients!D93</f>
        <v>Registered Nurse (Tertiary)</v>
      </c>
      <c r="F153" s="68"/>
    </row>
    <row r="154" spans="4:6" s="23" customFormat="1">
      <c r="D154" s="27" t="str">
        <f>Cost_Ingredients!D94</f>
        <v>Specialist in NIP program</v>
      </c>
      <c r="F154" s="68"/>
    </row>
    <row r="155" spans="4:6" s="23" customFormat="1">
      <c r="D155" s="27" t="str">
        <f>Cost_Ingredients!D95</f>
        <v>Storekeeper (IPH)</v>
      </c>
      <c r="F155" s="68"/>
    </row>
    <row r="156" spans="4:6" s="61" customFormat="1">
      <c r="D156" s="311" t="str">
        <f>Cost_Ingredients!D96</f>
        <v>Personnel 23</v>
      </c>
      <c r="F156" s="312"/>
    </row>
    <row r="157" spans="4:6" s="61" customFormat="1">
      <c r="D157" s="311" t="str">
        <f>Cost_Ingredients!D97</f>
        <v>Personnel 24</v>
      </c>
      <c r="F157" s="312"/>
    </row>
    <row r="158" spans="4:6" s="61" customFormat="1">
      <c r="D158" s="311" t="str">
        <f>Cost_Ingredients!D98</f>
        <v>Personnel 25</v>
      </c>
      <c r="F158" s="312"/>
    </row>
    <row r="159" spans="4:6" s="23" customFormat="1"/>
    <row r="160" spans="4:6" s="23" customFormat="1"/>
    <row r="161" spans="3:6" s="23" customFormat="1" ht="15.6">
      <c r="C161" s="111" t="s">
        <v>128</v>
      </c>
      <c r="F161" s="111" t="s">
        <v>28</v>
      </c>
    </row>
    <row r="162" spans="3:6" s="23" customFormat="1"/>
    <row r="163" spans="3:6" s="23" customFormat="1">
      <c r="D163" s="26" t="s">
        <v>128</v>
      </c>
      <c r="F163" s="68" t="s">
        <v>129</v>
      </c>
    </row>
    <row r="164" spans="3:6" s="23" customFormat="1">
      <c r="D164" s="27" t="str">
        <f>Cost_Ingredients!D104</f>
        <v>&lt;select from this drop-down list&gt;</v>
      </c>
      <c r="F164" s="68"/>
    </row>
    <row r="165" spans="3:6" s="23" customFormat="1">
      <c r="D165" s="27" t="str">
        <f>Cost_Ingredients!D105</f>
        <v>Per diem (per person per day)</v>
      </c>
      <c r="F165" s="68"/>
    </row>
    <row r="166" spans="3:6" s="23" customFormat="1">
      <c r="D166" s="27" t="str">
        <f>Cost_Ingredients!D106</f>
        <v>Allowance Price 3</v>
      </c>
      <c r="F166" s="68"/>
    </row>
    <row r="167" spans="3:6" s="23" customFormat="1">
      <c r="D167" s="27" t="str">
        <f>Cost_Ingredients!D107</f>
        <v>Allowance Price 4</v>
      </c>
      <c r="F167" s="68"/>
    </row>
    <row r="168" spans="3:6" s="23" customFormat="1">
      <c r="D168" s="27" t="str">
        <f>Cost_Ingredients!D108</f>
        <v>Allowance Price 5</v>
      </c>
      <c r="F168" s="68"/>
    </row>
    <row r="169" spans="3:6" s="23" customFormat="1">
      <c r="D169" s="27" t="str">
        <f>Cost_Ingredients!D109</f>
        <v>Allowance Price 6</v>
      </c>
      <c r="F169" s="68"/>
    </row>
    <row r="170" spans="3:6" s="23" customFormat="1">
      <c r="D170" s="27" t="str">
        <f>Cost_Ingredients!D110</f>
        <v>Allowance Price 7</v>
      </c>
      <c r="F170" s="68"/>
    </row>
    <row r="171" spans="3:6" s="23" customFormat="1">
      <c r="D171" s="27" t="str">
        <f>Cost_Ingredients!D111</f>
        <v>Allowance Price 8</v>
      </c>
      <c r="F171" s="68"/>
    </row>
    <row r="172" spans="3:6" s="23" customFormat="1">
      <c r="D172" s="27" t="str">
        <f>Cost_Ingredients!D112</f>
        <v>Allowance Price 9</v>
      </c>
      <c r="F172" s="68"/>
    </row>
    <row r="173" spans="3:6" s="23" customFormat="1">
      <c r="D173" s="27" t="str">
        <f>Cost_Ingredients!D113</f>
        <v>Allowance Price 10</v>
      </c>
      <c r="F173" s="68"/>
    </row>
    <row r="174" spans="3:6" s="23" customFormat="1"/>
    <row r="175" spans="3:6" s="23" customFormat="1" ht="15.6">
      <c r="C175" s="111" t="s">
        <v>130</v>
      </c>
      <c r="F175" s="111" t="s">
        <v>28</v>
      </c>
    </row>
    <row r="176" spans="3:6" s="23" customFormat="1"/>
    <row r="177" spans="4:6" s="23" customFormat="1">
      <c r="D177" s="26" t="s">
        <v>130</v>
      </c>
      <c r="F177" s="68" t="s">
        <v>131</v>
      </c>
    </row>
    <row r="178" spans="4:6" s="23" customFormat="1">
      <c r="D178" s="27" t="str">
        <f>Cost_Ingredients!D118</f>
        <v>&lt;select from this drop-down list&gt;</v>
      </c>
      <c r="F178" s="68"/>
    </row>
    <row r="179" spans="4:6" s="23" customFormat="1">
      <c r="D179" s="27" t="str">
        <f>Cost_Ingredients!D119</f>
        <v>Cotton</v>
      </c>
      <c r="F179" s="68"/>
    </row>
    <row r="180" spans="4:6" s="23" customFormat="1">
      <c r="D180" s="27" t="str">
        <f>Cost_Ingredients!D120</f>
        <v>Gloves</v>
      </c>
      <c r="F180" s="68"/>
    </row>
    <row r="181" spans="4:6" s="23" customFormat="1">
      <c r="D181" s="27" t="str">
        <f>Cost_Ingredients!D121</f>
        <v>Lefleats</v>
      </c>
      <c r="F181" s="68"/>
    </row>
    <row r="182" spans="4:6" s="23" customFormat="1">
      <c r="D182" s="27" t="str">
        <f>Cost_Ingredients!D122</f>
        <v>Photocopy information package</v>
      </c>
      <c r="F182" s="68"/>
    </row>
    <row r="183" spans="4:6" s="23" customFormat="1">
      <c r="D183" s="27" t="str">
        <f>Cost_Ingredients!D123</f>
        <v>Posters</v>
      </c>
      <c r="F183" s="68"/>
    </row>
    <row r="184" spans="4:6" s="23" customFormat="1">
      <c r="D184" s="27" t="str">
        <f>Cost_Ingredients!D124</f>
        <v>Refusal form photocopy</v>
      </c>
      <c r="F184" s="68"/>
    </row>
    <row r="185" spans="4:6" s="23" customFormat="1">
      <c r="D185" s="27" t="str">
        <f>Cost_Ingredients!D125</f>
        <v>Register 25 lines per page</v>
      </c>
      <c r="F185" s="68"/>
    </row>
    <row r="186" spans="4:6" s="23" customFormat="1">
      <c r="D186" s="27" t="str">
        <f>Cost_Ingredients!D126</f>
        <v>Stationary package</v>
      </c>
      <c r="F186" s="68"/>
    </row>
    <row r="187" spans="4:6" s="23" customFormat="1">
      <c r="D187" s="27" t="str">
        <f>Cost_Ingredients!D127</f>
        <v>Syrynges</v>
      </c>
      <c r="F187" s="68"/>
    </row>
    <row r="188" spans="4:6" s="23" customFormat="1">
      <c r="D188" s="27" t="str">
        <f>Cost_Ingredients!D128</f>
        <v>UNICEF Donatore leaflets</v>
      </c>
      <c r="F188" s="68"/>
    </row>
    <row r="189" spans="4:6" s="23" customFormat="1">
      <c r="D189" s="27" t="str">
        <f>Cost_Ingredients!D129</f>
        <v>UNICEF Donatore posters</v>
      </c>
      <c r="F189" s="68"/>
    </row>
    <row r="190" spans="4:6" s="23" customFormat="1">
      <c r="D190" s="27" t="str">
        <f>Cost_Ingredients!D130</f>
        <v>Vaccination card</v>
      </c>
      <c r="F190" s="68"/>
    </row>
    <row r="191" spans="4:6" s="23" customFormat="1">
      <c r="D191" s="27" t="str">
        <f>Cost_Ingredients!D131</f>
        <v>Invoice book</v>
      </c>
      <c r="F191" s="68"/>
    </row>
    <row r="192" spans="4:6" s="23" customFormat="1">
      <c r="D192" s="27">
        <f>Cost_Ingredients!D132</f>
        <v>0</v>
      </c>
      <c r="F192" s="68"/>
    </row>
    <row r="193" spans="3:6" s="23" customFormat="1">
      <c r="D193" s="27">
        <f>Cost_Ingredients!D133</f>
        <v>0</v>
      </c>
      <c r="F193" s="68"/>
    </row>
    <row r="194" spans="3:6" s="23" customFormat="1">
      <c r="D194" s="27">
        <f>Cost_Ingredients!D134</f>
        <v>0</v>
      </c>
      <c r="F194" s="68"/>
    </row>
    <row r="195" spans="3:6" s="23" customFormat="1">
      <c r="D195" s="27">
        <f>Cost_Ingredients!D135</f>
        <v>0</v>
      </c>
      <c r="F195" s="68"/>
    </row>
    <row r="196" spans="3:6" s="23" customFormat="1">
      <c r="D196" s="27">
        <f>Cost_Ingredients!D136</f>
        <v>0</v>
      </c>
      <c r="F196" s="68"/>
    </row>
    <row r="197" spans="3:6" s="23" customFormat="1">
      <c r="D197" s="27">
        <f>Cost_Ingredients!D137</f>
        <v>0</v>
      </c>
      <c r="F197" s="68"/>
    </row>
    <row r="198" spans="3:6" s="23" customFormat="1">
      <c r="D198" s="27">
        <f>Cost_Ingredients!D138</f>
        <v>0</v>
      </c>
      <c r="F198" s="68"/>
    </row>
    <row r="199" spans="3:6" s="23" customFormat="1">
      <c r="D199" s="27">
        <f>Cost_Ingredients!D139</f>
        <v>0</v>
      </c>
      <c r="F199" s="68"/>
    </row>
    <row r="200" spans="3:6" s="23" customFormat="1">
      <c r="D200" s="27">
        <f>Cost_Ingredients!D140</f>
        <v>0</v>
      </c>
      <c r="F200" s="68"/>
    </row>
    <row r="201" spans="3:6" s="23" customFormat="1">
      <c r="D201" s="27">
        <f>Cost_Ingredients!D141</f>
        <v>0</v>
      </c>
      <c r="F201" s="68"/>
    </row>
    <row r="202" spans="3:6" s="23" customFormat="1">
      <c r="D202" s="27">
        <f>Cost_Ingredients!D142</f>
        <v>0</v>
      </c>
      <c r="F202" s="68"/>
    </row>
    <row r="203" spans="3:6" s="23" customFormat="1"/>
    <row r="204" spans="3:6" s="23" customFormat="1" ht="15.6">
      <c r="C204" s="111" t="s">
        <v>132</v>
      </c>
      <c r="F204" s="111" t="s">
        <v>28</v>
      </c>
    </row>
    <row r="205" spans="3:6" s="23" customFormat="1"/>
    <row r="206" spans="3:6" s="23" customFormat="1">
      <c r="D206" s="26" t="s">
        <v>132</v>
      </c>
      <c r="F206" s="68" t="s">
        <v>133</v>
      </c>
    </row>
    <row r="207" spans="3:6" s="23" customFormat="1">
      <c r="D207" s="27" t="str">
        <f>Cost_Ingredients!D147</f>
        <v>&lt;select from this drop-down list&gt;</v>
      </c>
      <c r="F207" s="68"/>
    </row>
    <row r="208" spans="3:6" s="23" customFormat="1">
      <c r="D208" s="27" t="str">
        <f>Cost_Ingredients!D148</f>
        <v>Fuel</v>
      </c>
      <c r="F208" s="68"/>
    </row>
    <row r="209" spans="4:6" s="23" customFormat="1">
      <c r="D209" s="27">
        <f>Cost_Ingredients!D149</f>
        <v>0</v>
      </c>
      <c r="F209" s="68"/>
    </row>
    <row r="210" spans="4:6" s="23" customFormat="1">
      <c r="D210" s="27">
        <f>Cost_Ingredients!D150</f>
        <v>0</v>
      </c>
      <c r="F210" s="68"/>
    </row>
    <row r="211" spans="4:6" s="23" customFormat="1">
      <c r="D211" s="27">
        <f>Cost_Ingredients!D151</f>
        <v>0</v>
      </c>
      <c r="F211" s="68"/>
    </row>
    <row r="212" spans="4:6" s="23" customFormat="1">
      <c r="D212" s="27">
        <f>Cost_Ingredients!D152</f>
        <v>0</v>
      </c>
      <c r="F212" s="68"/>
    </row>
    <row r="213" spans="4:6" s="23" customFormat="1">
      <c r="D213" s="27">
        <f>Cost_Ingredients!D153</f>
        <v>0</v>
      </c>
      <c r="F213" s="68"/>
    </row>
    <row r="214" spans="4:6" s="23" customFormat="1">
      <c r="D214" s="27">
        <f>Cost_Ingredients!D154</f>
        <v>0</v>
      </c>
      <c r="F214" s="68"/>
    </row>
    <row r="215" spans="4:6" s="23" customFormat="1">
      <c r="D215" s="27">
        <f>Cost_Ingredients!D155</f>
        <v>0</v>
      </c>
      <c r="F215" s="68"/>
    </row>
    <row r="216" spans="4:6" s="23" customFormat="1">
      <c r="D216" s="27">
        <f>Cost_Ingredients!D156</f>
        <v>0</v>
      </c>
      <c r="F216" s="68"/>
    </row>
    <row r="217" spans="4:6" s="23" customFormat="1">
      <c r="D217" s="27">
        <f>Cost_Ingredients!D157</f>
        <v>0</v>
      </c>
      <c r="F217" s="68"/>
    </row>
    <row r="218" spans="4:6" s="23" customFormat="1">
      <c r="D218" s="27">
        <f>Cost_Ingredients!D158</f>
        <v>0</v>
      </c>
      <c r="F218" s="68"/>
    </row>
    <row r="219" spans="4:6" s="23" customFormat="1">
      <c r="D219" s="27">
        <f>Cost_Ingredients!D159</f>
        <v>0</v>
      </c>
      <c r="F219" s="68"/>
    </row>
    <row r="220" spans="4:6" s="23" customFormat="1">
      <c r="D220" s="27">
        <f>Cost_Ingredients!D160</f>
        <v>0</v>
      </c>
      <c r="F220" s="68"/>
    </row>
    <row r="221" spans="4:6" s="23" customFormat="1">
      <c r="D221" s="27">
        <f>Cost_Ingredients!D161</f>
        <v>0</v>
      </c>
      <c r="F221" s="68"/>
    </row>
    <row r="222" spans="4:6" s="23" customFormat="1">
      <c r="D222" s="27">
        <f>Cost_Ingredients!D162</f>
        <v>0</v>
      </c>
      <c r="F222" s="68"/>
    </row>
    <row r="223" spans="4:6" s="23" customFormat="1">
      <c r="D223" s="27">
        <f>Cost_Ingredients!D163</f>
        <v>0</v>
      </c>
      <c r="F223" s="68"/>
    </row>
    <row r="224" spans="4:6" s="23" customFormat="1">
      <c r="D224" s="27">
        <f>Cost_Ingredients!D164</f>
        <v>0</v>
      </c>
      <c r="F224" s="68"/>
    </row>
    <row r="225" spans="3:6" s="23" customFormat="1">
      <c r="D225" s="27">
        <f>Cost_Ingredients!D165</f>
        <v>0</v>
      </c>
      <c r="F225" s="68"/>
    </row>
    <row r="226" spans="3:6" s="23" customFormat="1">
      <c r="D226" s="27">
        <f>Cost_Ingredients!D166</f>
        <v>0</v>
      </c>
      <c r="F226" s="68"/>
    </row>
    <row r="227" spans="3:6" s="23" customFormat="1">
      <c r="D227" s="27">
        <f>Cost_Ingredients!D167</f>
        <v>0</v>
      </c>
      <c r="F227" s="68"/>
    </row>
    <row r="228" spans="3:6" s="23" customFormat="1">
      <c r="D228" s="27">
        <f>Cost_Ingredients!D168</f>
        <v>0</v>
      </c>
      <c r="F228" s="68"/>
    </row>
    <row r="229" spans="3:6" s="23" customFormat="1"/>
    <row r="230" spans="3:6" s="23" customFormat="1" ht="15.6">
      <c r="C230" s="111" t="s">
        <v>145</v>
      </c>
      <c r="F230" s="111" t="s">
        <v>28</v>
      </c>
    </row>
    <row r="231" spans="3:6" s="23" customFormat="1"/>
    <row r="232" spans="3:6" s="23" customFormat="1">
      <c r="D232" s="26" t="s">
        <v>145</v>
      </c>
      <c r="F232" s="68" t="s">
        <v>146</v>
      </c>
    </row>
    <row r="233" spans="3:6" s="23" customFormat="1">
      <c r="D233" s="27" t="str">
        <f>Cost_Ingredients!D178</f>
        <v>&lt;select from this drop-down list&gt;</v>
      </c>
      <c r="F233" s="68"/>
    </row>
    <row r="234" spans="3:6" s="23" customFormat="1">
      <c r="D234" s="27" t="str">
        <f>Cost_Ingredients!D179</f>
        <v>Minivan</v>
      </c>
      <c r="F234" s="68"/>
    </row>
    <row r="235" spans="3:6" s="23" customFormat="1">
      <c r="D235" s="27" t="str">
        <f>Cost_Ingredients!D180</f>
        <v>Pickup Truck</v>
      </c>
      <c r="F235" s="68"/>
    </row>
    <row r="236" spans="3:6" s="23" customFormat="1">
      <c r="D236" s="27" t="str">
        <f>Cost_Ingredients!D181</f>
        <v>Capital_Cost_Item_GroupA Category 4</v>
      </c>
      <c r="F236" s="68"/>
    </row>
    <row r="237" spans="3:6" s="23" customFormat="1">
      <c r="D237" s="27" t="str">
        <f>Cost_Ingredients!D182</f>
        <v>Capital_Cost_Item_GroupA Category 5</v>
      </c>
      <c r="F237" s="68"/>
    </row>
    <row r="238" spans="3:6" s="23" customFormat="1">
      <c r="D238" s="27" t="str">
        <f>Cost_Ingredients!D183</f>
        <v>Capital_Cost_Item_GroupA Category 6</v>
      </c>
      <c r="F238" s="68"/>
    </row>
    <row r="239" spans="3:6" s="23" customFormat="1"/>
    <row r="240" spans="3:6" s="23" customFormat="1" ht="15.6">
      <c r="C240" s="111" t="s">
        <v>147</v>
      </c>
      <c r="F240" s="111" t="s">
        <v>28</v>
      </c>
    </row>
    <row r="241" spans="3:6" s="23" customFormat="1"/>
    <row r="242" spans="3:6" s="23" customFormat="1">
      <c r="D242" s="26" t="s">
        <v>147</v>
      </c>
      <c r="F242" s="68" t="s">
        <v>148</v>
      </c>
    </row>
    <row r="243" spans="3:6" s="23" customFormat="1">
      <c r="D243" s="27" t="str">
        <f>Cost_Ingredients!D191</f>
        <v>&lt;select from this drop-down list&gt;</v>
      </c>
      <c r="F243" s="68"/>
    </row>
    <row r="244" spans="3:6" s="23" customFormat="1">
      <c r="D244" s="27" t="str">
        <f>Cost_Ingredients!D192</f>
        <v>Laptop Computer</v>
      </c>
      <c r="F244" s="68"/>
    </row>
    <row r="245" spans="3:6" s="23" customFormat="1">
      <c r="D245" s="27" t="str">
        <f>Cost_Ingredients!D193</f>
        <v>Capital_Cost_Item_GroupB Category 3</v>
      </c>
      <c r="F245" s="68"/>
    </row>
    <row r="246" spans="3:6" s="23" customFormat="1">
      <c r="D246" s="27" t="str">
        <f>Cost_Ingredients!D194</f>
        <v>Capital_Cost_Item_GroupB Category 4</v>
      </c>
      <c r="F246" s="68"/>
    </row>
    <row r="247" spans="3:6" s="23" customFormat="1">
      <c r="D247" s="27" t="str">
        <f>Cost_Ingredients!D195</f>
        <v>Capital_Cost_Item_GroupB Category 5</v>
      </c>
      <c r="F247" s="68"/>
    </row>
    <row r="248" spans="3:6" s="23" customFormat="1">
      <c r="D248" s="27" t="str">
        <f>Cost_Ingredients!D196</f>
        <v>Capital_Cost_Item_GroupB Category 6</v>
      </c>
      <c r="F248" s="68"/>
    </row>
    <row r="249" spans="3:6" s="23" customFormat="1">
      <c r="D249" s="27" t="str">
        <f>Cost_Ingredients!D197</f>
        <v>Capital_Cost_Item_GroupB Category 7</v>
      </c>
      <c r="F249" s="68"/>
    </row>
    <row r="250" spans="3:6" s="23" customFormat="1"/>
    <row r="251" spans="3:6" s="23" customFormat="1" ht="15.6">
      <c r="C251" s="111" t="s">
        <v>149</v>
      </c>
      <c r="F251" s="111" t="s">
        <v>28</v>
      </c>
    </row>
    <row r="252" spans="3:6" s="23" customFormat="1"/>
    <row r="253" spans="3:6" s="23" customFormat="1">
      <c r="D253" s="26" t="s">
        <v>149</v>
      </c>
      <c r="F253" s="68" t="s">
        <v>150</v>
      </c>
    </row>
    <row r="254" spans="3:6" s="23" customFormat="1">
      <c r="D254" s="27" t="str">
        <f>Cost_Ingredients!D205</f>
        <v>&lt;select from this drop-down list&gt;</v>
      </c>
      <c r="F254" s="68"/>
    </row>
    <row r="255" spans="3:6" s="23" customFormat="1">
      <c r="D255" s="27" t="str">
        <f>Cost_Ingredients!D206</f>
        <v>Icelined refrigerator (200k)</v>
      </c>
      <c r="F255" s="68"/>
    </row>
    <row r="256" spans="3:6" s="23" customFormat="1">
      <c r="D256" s="27" t="str">
        <f>Cost_Ingredients!D207</f>
        <v>Icelined refrigerator (99k)</v>
      </c>
      <c r="F256" s="68"/>
    </row>
    <row r="257" spans="3:6" s="23" customFormat="1">
      <c r="D257" s="27" t="str">
        <f>Cost_Ingredients!D208</f>
        <v>Icelined refrigerator (63k)</v>
      </c>
      <c r="F257" s="68"/>
    </row>
    <row r="258" spans="3:6" s="23" customFormat="1">
      <c r="D258" s="27" t="str">
        <f>Cost_Ingredients!D209</f>
        <v>Icelined refrigerator (45k)</v>
      </c>
      <c r="F258" s="68"/>
    </row>
    <row r="259" spans="3:6" s="23" customFormat="1">
      <c r="D259" s="27" t="str">
        <f>Cost_Ingredients!D210</f>
        <v>Solar battery refrigerator</v>
      </c>
      <c r="F259" s="68"/>
    </row>
    <row r="260" spans="3:6" s="23" customFormat="1">
      <c r="D260" s="27" t="str">
        <f>Cost_Ingredients!D211</f>
        <v>Haier HTC-60 Solar Direct Drive</v>
      </c>
      <c r="F260" s="68"/>
    </row>
    <row r="261" spans="3:6" s="23" customFormat="1">
      <c r="D261" s="27" t="str">
        <f>Cost_Ingredients!D212</f>
        <v>Cold Room</v>
      </c>
      <c r="F261" s="68"/>
    </row>
    <row r="262" spans="3:6" s="23" customFormat="1">
      <c r="D262" s="27" t="str">
        <f>Cost_Ingredients!D213</f>
        <v>Capital_Cost_Item_GroupC Category 9</v>
      </c>
      <c r="F262" s="68"/>
    </row>
    <row r="263" spans="3:6" s="23" customFormat="1">
      <c r="D263" s="27" t="str">
        <f>Cost_Ingredients!D214</f>
        <v>Capital_Cost_Item_GroupC Category 10</v>
      </c>
      <c r="F263" s="68"/>
    </row>
    <row r="264" spans="3:6" s="23" customFormat="1">
      <c r="D264" s="27" t="str">
        <f>Cost_Ingredients!D215</f>
        <v>Capital_Cost_Item_GroupC Category 11</v>
      </c>
      <c r="F264" s="68"/>
    </row>
    <row r="265" spans="3:6" s="23" customFormat="1"/>
    <row r="266" spans="3:6" s="23" customFormat="1" ht="15.6">
      <c r="C266" s="111" t="s">
        <v>151</v>
      </c>
      <c r="F266" s="111" t="s">
        <v>28</v>
      </c>
    </row>
    <row r="267" spans="3:6" s="23" customFormat="1"/>
    <row r="268" spans="3:6" s="23" customFormat="1">
      <c r="D268" s="26" t="s">
        <v>151</v>
      </c>
      <c r="F268" s="68" t="s">
        <v>152</v>
      </c>
    </row>
    <row r="269" spans="3:6" s="23" customFormat="1">
      <c r="D269" s="27" t="str">
        <f>Cost_Ingredients!D223</f>
        <v>&lt;select from this drop-down list&gt;</v>
      </c>
      <c r="F269" s="68"/>
    </row>
    <row r="270" spans="3:6" s="23" customFormat="1">
      <c r="D270" s="27" t="str">
        <f>Cost_Ingredients!D224</f>
        <v>Random ODC Capital</v>
      </c>
      <c r="F270" s="68"/>
    </row>
    <row r="271" spans="3:6" s="23" customFormat="1">
      <c r="D271" s="27" t="str">
        <f>Cost_Ingredients!D225</f>
        <v>Capital_Cost_Item_GroupD Category 3</v>
      </c>
      <c r="F271" s="68"/>
    </row>
    <row r="272" spans="3:6" s="23" customFormat="1">
      <c r="D272" s="27" t="str">
        <f>Cost_Ingredients!D226</f>
        <v>Capital_Cost_Item_GroupD Category 4</v>
      </c>
      <c r="F272" s="68"/>
    </row>
    <row r="273" spans="3:6" s="23" customFormat="1">
      <c r="D273" s="27" t="str">
        <f>Cost_Ingredients!D227</f>
        <v>Capital_Cost_Item_GroupD Category 5</v>
      </c>
      <c r="F273" s="68"/>
    </row>
    <row r="274" spans="3:6" s="23" customFormat="1"/>
    <row r="275" spans="3:6" s="23" customFormat="1" ht="15.6">
      <c r="C275" s="111" t="s">
        <v>155</v>
      </c>
      <c r="F275" s="111" t="s">
        <v>28</v>
      </c>
    </row>
    <row r="276" spans="3:6" s="23" customFormat="1"/>
    <row r="277" spans="3:6" s="23" customFormat="1">
      <c r="D277" s="26" t="s">
        <v>156</v>
      </c>
      <c r="F277" s="68" t="s">
        <v>157</v>
      </c>
    </row>
    <row r="278" spans="3:6" s="23" customFormat="1">
      <c r="D278" s="27" t="str">
        <f>Cost_Ingredients!D30</f>
        <v xml:space="preserve">Personnel </v>
      </c>
      <c r="F278" s="68"/>
    </row>
    <row r="279" spans="3:6" s="23" customFormat="1">
      <c r="D279" s="27" t="str">
        <f>Cost_Ingredients!D31</f>
        <v>Allowances</v>
      </c>
      <c r="F279" s="68"/>
    </row>
    <row r="280" spans="3:6" s="23" customFormat="1">
      <c r="D280" s="27" t="str">
        <f>Cost_Ingredients!D32</f>
        <v>Supplies &amp; Materials</v>
      </c>
      <c r="F280" s="68"/>
    </row>
    <row r="281" spans="3:6" s="23" customFormat="1">
      <c r="D281" s="27" t="str">
        <f>Cost_Ingredients!D33</f>
        <v>Other Direct Costs (Recurrent)</v>
      </c>
      <c r="F281" s="68"/>
    </row>
    <row r="282" spans="3:6" s="23" customFormat="1"/>
    <row r="283" spans="3:6" s="23" customFormat="1" ht="15.6">
      <c r="C283" s="111" t="s">
        <v>158</v>
      </c>
      <c r="F283" s="111" t="s">
        <v>28</v>
      </c>
    </row>
    <row r="284" spans="3:6" s="23" customFormat="1"/>
    <row r="285" spans="3:6" s="23" customFormat="1">
      <c r="D285" s="26" t="s">
        <v>159</v>
      </c>
      <c r="F285" s="68" t="s">
        <v>160</v>
      </c>
    </row>
    <row r="286" spans="3:6" s="23" customFormat="1">
      <c r="D286" s="27" t="str">
        <f>Cost_Ingredients!D36</f>
        <v>Vehicles</v>
      </c>
      <c r="F286" s="68"/>
    </row>
    <row r="287" spans="3:6" s="23" customFormat="1">
      <c r="D287" s="27" t="str">
        <f>Cost_Ingredients!D37</f>
        <v>Equipment (not Cold Chain)</v>
      </c>
      <c r="F287" s="68"/>
    </row>
    <row r="288" spans="3:6" s="23" customFormat="1">
      <c r="D288" s="27" t="str">
        <f>Cost_Ingredients!D38</f>
        <v>Cold Chain Equipment</v>
      </c>
      <c r="F288" s="68"/>
    </row>
    <row r="289" spans="3:6" s="23" customFormat="1">
      <c r="D289" s="27" t="str">
        <f>Cost_Ingredients!D39</f>
        <v>Other Direct Costs (Capital)</v>
      </c>
      <c r="F289" s="68"/>
    </row>
    <row r="290" spans="3:6" s="23" customFormat="1"/>
    <row r="291" spans="3:6" s="23" customFormat="1" ht="15.6">
      <c r="C291" s="111" t="s">
        <v>163</v>
      </c>
      <c r="F291" s="111" t="s">
        <v>28</v>
      </c>
    </row>
    <row r="292" spans="3:6" s="23" customFormat="1"/>
    <row r="293" spans="3:6" s="23" customFormat="1">
      <c r="D293" s="26" t="s">
        <v>164</v>
      </c>
      <c r="F293" s="68" t="s">
        <v>165</v>
      </c>
    </row>
    <row r="294" spans="3:6" s="23" customFormat="1">
      <c r="D294" s="40" t="s">
        <v>166</v>
      </c>
      <c r="F294" s="68"/>
    </row>
    <row r="295" spans="3:6" s="23" customFormat="1">
      <c r="D295" s="40" t="s">
        <v>167</v>
      </c>
      <c r="F295" s="68"/>
    </row>
    <row r="297" spans="3:6" ht="15.6">
      <c r="C297" s="111" t="s">
        <v>226</v>
      </c>
      <c r="F297" s="111" t="s">
        <v>28</v>
      </c>
    </row>
    <row r="299" spans="3:6">
      <c r="D299" s="26" t="s">
        <v>226</v>
      </c>
      <c r="F299" s="68" t="s">
        <v>227</v>
      </c>
    </row>
    <row r="300" spans="3:6">
      <c r="D300" s="40" t="s">
        <v>228</v>
      </c>
      <c r="F300" s="68"/>
    </row>
    <row r="301" spans="3:6">
      <c r="D301" s="40" t="s">
        <v>196</v>
      </c>
      <c r="F301" s="68"/>
    </row>
    <row r="302" spans="3:6">
      <c r="D302" s="40" t="s">
        <v>229</v>
      </c>
      <c r="F302" s="68"/>
    </row>
    <row r="304" spans="3:6" ht="15.6">
      <c r="C304" s="111" t="s">
        <v>249</v>
      </c>
      <c r="F304" s="111" t="s">
        <v>28</v>
      </c>
    </row>
    <row r="306" spans="3:6">
      <c r="D306" s="26" t="s">
        <v>250</v>
      </c>
      <c r="F306" s="68" t="s">
        <v>253</v>
      </c>
    </row>
    <row r="307" spans="3:6">
      <c r="D307" s="27" t="str">
        <f>Financial!E24</f>
        <v>Financial</v>
      </c>
      <c r="F307" s="68"/>
    </row>
    <row r="308" spans="3:6">
      <c r="D308" s="27" t="str">
        <f>Financial!E25</f>
        <v>Economic</v>
      </c>
      <c r="F308" s="68"/>
    </row>
    <row r="310" spans="3:6" ht="15.6">
      <c r="C310" s="111" t="s">
        <v>254</v>
      </c>
      <c r="F310" s="111" t="s">
        <v>28</v>
      </c>
    </row>
    <row r="312" spans="3:6">
      <c r="D312" s="26" t="s">
        <v>255</v>
      </c>
      <c r="F312" s="68" t="s">
        <v>256</v>
      </c>
    </row>
    <row r="313" spans="3:6">
      <c r="D313" s="27" t="str">
        <f>Financial!H24</f>
        <v>FIN</v>
      </c>
      <c r="F313" s="68"/>
    </row>
    <row r="314" spans="3:6">
      <c r="D314" s="27" t="str">
        <f>Financial!H25</f>
        <v>ECON</v>
      </c>
      <c r="F314" s="68"/>
    </row>
    <row r="317" spans="3:6" ht="15.6">
      <c r="C317" s="111" t="s">
        <v>386</v>
      </c>
      <c r="F317" s="111" t="s">
        <v>28</v>
      </c>
    </row>
    <row r="319" spans="3:6">
      <c r="D319" s="26" t="s">
        <v>387</v>
      </c>
      <c r="F319" s="68" t="s">
        <v>388</v>
      </c>
    </row>
    <row r="320" spans="3:6">
      <c r="D320" s="27" t="str">
        <f>PROCUR!F48</f>
        <v>Single Vaccine Dose in Prefilled Auto-Destruct Syringe</v>
      </c>
      <c r="F320" s="68"/>
    </row>
    <row r="321" spans="3:6">
      <c r="D321" s="27" t="str">
        <f>PROCUR!F49</f>
        <v>Single Vaccine Dose in Vial</v>
      </c>
      <c r="F321" s="68"/>
    </row>
    <row r="323" spans="3:6" s="23" customFormat="1" ht="15.6">
      <c r="C323" s="111" t="s">
        <v>601</v>
      </c>
      <c r="F323" s="111" t="s">
        <v>28</v>
      </c>
    </row>
    <row r="324" spans="3:6" s="23" customFormat="1"/>
    <row r="325" spans="3:6" s="23" customFormat="1">
      <c r="D325" s="26" t="s">
        <v>602</v>
      </c>
      <c r="F325" s="68" t="s">
        <v>603</v>
      </c>
    </row>
    <row r="326" spans="3:6" s="23" customFormat="1">
      <c r="D326" s="170" t="str">
        <f>DISTRIB!F16</f>
        <v>Plan and prepare for distribution.</v>
      </c>
      <c r="F326" s="68"/>
    </row>
    <row r="327" spans="3:6" s="23" customFormat="1">
      <c r="D327" s="170" t="str">
        <f>DISTRIB!F17</f>
        <v>Distribute Vacc Materials from IPH to 12 Directorates</v>
      </c>
      <c r="F327" s="68"/>
    </row>
    <row r="328" spans="3:6" s="23" customFormat="1">
      <c r="D328" s="170" t="str">
        <f>DISTRIB!F18</f>
        <v>Distribute Vacc Materials from 12 Directorates to Health Facilities</v>
      </c>
      <c r="F328" s="68"/>
    </row>
    <row r="330" spans="3:6" s="23" customFormat="1"/>
    <row r="331" spans="3:6" s="23" customFormat="1" ht="15.6">
      <c r="C331" s="111" t="s">
        <v>284</v>
      </c>
      <c r="F331" s="111" t="s">
        <v>28</v>
      </c>
    </row>
    <row r="332" spans="3:6" s="23" customFormat="1"/>
    <row r="333" spans="3:6" s="23" customFormat="1">
      <c r="D333" s="26" t="s">
        <v>504</v>
      </c>
      <c r="F333" s="68" t="s">
        <v>505</v>
      </c>
    </row>
    <row r="334" spans="3:6" s="23" customFormat="1">
      <c r="D334" s="170" t="str">
        <f>TRAIN!F16</f>
        <v>Public Health Directorate Training</v>
      </c>
      <c r="F334" s="68"/>
    </row>
    <row r="335" spans="3:6" s="23" customFormat="1">
      <c r="D335" s="170" t="str">
        <f>TRAIN!F17</f>
        <v>District Epidemiologists Meet w/ Health Facility Teams to Prepare</v>
      </c>
      <c r="F335" s="68"/>
    </row>
    <row r="336" spans="3:6" s="23" customFormat="1">
      <c r="D336" s="170" t="str">
        <f>TRAIN!F18</f>
        <v>[Available for Additional Training Activity]</v>
      </c>
      <c r="F336" s="68"/>
    </row>
    <row r="337" spans="3:6" s="23" customFormat="1"/>
    <row r="338" spans="3:6" s="23" customFormat="1" ht="15.6">
      <c r="C338" s="111" t="s">
        <v>521</v>
      </c>
      <c r="F338" s="111" t="s">
        <v>28</v>
      </c>
    </row>
    <row r="339" spans="3:6" s="23" customFormat="1"/>
    <row r="340" spans="3:6" s="23" customFormat="1">
      <c r="D340" s="26" t="s">
        <v>522</v>
      </c>
      <c r="F340" s="68" t="s">
        <v>523</v>
      </c>
    </row>
    <row r="341" spans="3:6" s="23" customFormat="1">
      <c r="D341" s="170" t="str">
        <f>IEC!F16</f>
        <v>Media relations established</v>
      </c>
      <c r="F341" s="68"/>
    </row>
    <row r="342" spans="3:6" s="23" customFormat="1">
      <c r="D342" s="170" t="str">
        <f>IEC!F17</f>
        <v xml:space="preserve">National press release for Health Care Worker vaccination </v>
      </c>
      <c r="F342" s="68"/>
    </row>
    <row r="343" spans="3:6" s="23" customFormat="1">
      <c r="D343" s="170" t="str">
        <f>IEC!F18</f>
        <v>Media appearances/ interviews  on National  TV and Radio</v>
      </c>
      <c r="F343" s="68"/>
    </row>
    <row r="344" spans="3:6" s="23" customFormat="1"/>
    <row r="345" spans="3:6" s="23" customFormat="1" ht="15.6">
      <c r="C345" s="111" t="s">
        <v>579</v>
      </c>
      <c r="F345" s="111" t="s">
        <v>28</v>
      </c>
    </row>
    <row r="346" spans="3:6" s="23" customFormat="1"/>
    <row r="347" spans="3:6" s="23" customFormat="1">
      <c r="D347" s="26" t="s">
        <v>580</v>
      </c>
      <c r="F347" s="68" t="s">
        <v>581</v>
      </c>
    </row>
    <row r="348" spans="3:6" s="23" customFormat="1">
      <c r="D348" s="170" t="str">
        <f>SD_IMM!F18</f>
        <v>Routine Immunization by a Facility Nurse</v>
      </c>
      <c r="F348" s="68"/>
    </row>
    <row r="349" spans="3:6" s="23" customFormat="1">
      <c r="D349" s="170" t="str">
        <f>SD_IMM!F19</f>
        <v>Routine Immunization by an Home Visit Nurse</v>
      </c>
      <c r="F349" s="68"/>
    </row>
    <row r="350" spans="3:6" s="23" customFormat="1">
      <c r="D350" s="170" t="str">
        <f>SD_IMM!F20</f>
        <v>Routine Immunization by a Satellite Outreach Nurse</v>
      </c>
      <c r="F350" s="68"/>
    </row>
    <row r="351" spans="3:6" s="23" customFormat="1"/>
    <row r="352" spans="3:6" s="23" customFormat="1" ht="15.6">
      <c r="C352" s="111" t="s">
        <v>582</v>
      </c>
      <c r="F352" s="111" t="s">
        <v>28</v>
      </c>
    </row>
    <row r="353" spans="3:6" s="23" customFormat="1"/>
    <row r="354" spans="3:6" s="23" customFormat="1">
      <c r="D354" s="26" t="s">
        <v>583</v>
      </c>
      <c r="F354" s="68" t="s">
        <v>584</v>
      </c>
    </row>
    <row r="355" spans="3:6" s="23" customFormat="1">
      <c r="D355" s="170" t="str">
        <f>SD_IMM!F24</f>
        <v>SIA - Team of 2 Nurses - Full Working Day</v>
      </c>
      <c r="F355" s="68"/>
    </row>
    <row r="356" spans="3:6" s="23" customFormat="1">
      <c r="D356" s="170" t="str">
        <f>SD_IMM!F25</f>
        <v>SIA - Team of 1 Doctor and 1 Nurse - Full Working Day</v>
      </c>
      <c r="F356" s="68"/>
    </row>
    <row r="357" spans="3:6" s="23" customFormat="1">
      <c r="D357" s="170" t="str">
        <f>SD_IMM!F26</f>
        <v>Service Delivery - Special Immunization Activity Category 3</v>
      </c>
      <c r="F357" s="68"/>
    </row>
    <row r="358" spans="3:6" s="23" customFormat="1"/>
    <row r="359" spans="3:6" s="23" customFormat="1"/>
    <row r="360" spans="3:6" s="61" customFormat="1" ht="15.6">
      <c r="C360" s="111" t="s">
        <v>753</v>
      </c>
      <c r="F360" s="111" t="s">
        <v>28</v>
      </c>
    </row>
    <row r="361" spans="3:6" s="61" customFormat="1"/>
    <row r="362" spans="3:6" s="61" customFormat="1">
      <c r="D362" s="26" t="s">
        <v>754</v>
      </c>
      <c r="F362" s="68" t="s">
        <v>755</v>
      </c>
    </row>
    <row r="363" spans="3:6" s="61" customFormat="1">
      <c r="D363" s="170" t="str">
        <f>COLD!F25</f>
        <v>Republic Level Cold Storage Expansion</v>
      </c>
      <c r="F363" s="68"/>
    </row>
    <row r="364" spans="3:6" s="61" customFormat="1">
      <c r="D364" s="170" t="str">
        <f>COLD!F26</f>
        <v>County Level Cold Storage Expansion</v>
      </c>
      <c r="F364" s="68"/>
    </row>
    <row r="365" spans="3:6" s="61" customFormat="1">
      <c r="D365" s="170" t="str">
        <f>COLD!F27</f>
        <v>Health Facility Cold Storage Expansion</v>
      </c>
      <c r="F365" s="68"/>
    </row>
    <row r="366" spans="3:6" s="23" customFormat="1"/>
    <row r="367" spans="3:6" s="23" customFormat="1"/>
    <row r="368" spans="3:6" s="23" customFormat="1" ht="15.6">
      <c r="C368" s="111" t="s">
        <v>509</v>
      </c>
      <c r="F368" s="111" t="s">
        <v>28</v>
      </c>
    </row>
    <row r="369" spans="3:6" s="23" customFormat="1"/>
    <row r="370" spans="3:6" s="23" customFormat="1">
      <c r="D370" s="26" t="s">
        <v>510</v>
      </c>
      <c r="F370" s="68" t="s">
        <v>511</v>
      </c>
    </row>
    <row r="371" spans="3:6" s="23" customFormat="1">
      <c r="D371" s="170" t="str">
        <f>SUPV!F16</f>
        <v>Supportive Supervision Visit From National to  PHD (district)</v>
      </c>
      <c r="F371" s="68"/>
    </row>
    <row r="372" spans="3:6" s="23" customFormat="1">
      <c r="D372" s="170" t="str">
        <f>SUPV!F17</f>
        <v xml:space="preserve">Supportive Supervision Visit From   PHD (district) to facility </v>
      </c>
      <c r="F372" s="68"/>
    </row>
    <row r="373" spans="3:6" s="23" customFormat="1">
      <c r="D373" s="170" t="str">
        <f>SUPV!F18</f>
        <v>Supervision Category 3</v>
      </c>
      <c r="F373" s="68"/>
    </row>
    <row r="374" spans="3:6" s="23" customFormat="1"/>
    <row r="375" spans="3:6" s="23" customFormat="1" ht="15.6">
      <c r="C375" s="111" t="s">
        <v>345</v>
      </c>
      <c r="F375" s="111" t="s">
        <v>28</v>
      </c>
    </row>
    <row r="376" spans="3:6" s="23" customFormat="1"/>
    <row r="377" spans="3:6" s="23" customFormat="1">
      <c r="D377" s="26" t="s">
        <v>513</v>
      </c>
      <c r="F377" s="68" t="s">
        <v>514</v>
      </c>
    </row>
    <row r="378" spans="3:6" s="23" customFormat="1">
      <c r="D378" s="170" t="str">
        <f>Other!F16</f>
        <v>Other Recurrent Activity 1</v>
      </c>
      <c r="F378" s="68"/>
    </row>
    <row r="379" spans="3:6" s="23" customFormat="1">
      <c r="D379" s="170" t="str">
        <f>Other!F17</f>
        <v>Other Recurrent Activity 2</v>
      </c>
      <c r="F379" s="68"/>
    </row>
    <row r="380" spans="3:6" s="23" customFormat="1">
      <c r="D380" s="170" t="str">
        <f>Other!F18</f>
        <v>Other Recurrent Activity 3</v>
      </c>
      <c r="F380" s="68"/>
    </row>
    <row r="381" spans="3:6" s="23" customFormat="1"/>
    <row r="382" spans="3:6" s="61" customFormat="1" ht="15.6">
      <c r="C382" s="111" t="s">
        <v>733</v>
      </c>
      <c r="F382" s="111" t="s">
        <v>28</v>
      </c>
    </row>
    <row r="383" spans="3:6" s="61" customFormat="1"/>
    <row r="384" spans="3:6" s="61" customFormat="1">
      <c r="D384" s="26" t="s">
        <v>734</v>
      </c>
      <c r="F384" s="68" t="s">
        <v>735</v>
      </c>
    </row>
    <row r="385" spans="3:6" s="61" customFormat="1">
      <c r="D385" s="170" t="str">
        <f>Other!F22</f>
        <v>Vehicle Acquisition</v>
      </c>
      <c r="F385" s="68"/>
    </row>
    <row r="386" spans="3:6" s="61" customFormat="1">
      <c r="D386" s="170" t="str">
        <f>Other!F23</f>
        <v>Other Equipment (not Cold Chain) Acquisition</v>
      </c>
      <c r="F386" s="68"/>
    </row>
    <row r="387" spans="3:6" s="61" customFormat="1">
      <c r="D387" s="170" t="str">
        <f>Other!F24</f>
        <v>Other Capital Costs not elsewhere included</v>
      </c>
      <c r="F387" s="68"/>
    </row>
    <row r="388" spans="3:6" s="61" customFormat="1"/>
    <row r="389" spans="3:6" s="61" customFormat="1"/>
    <row r="390" spans="3:6" s="61" customFormat="1"/>
    <row r="391" spans="3:6" s="61" customFormat="1"/>
    <row r="392" spans="3:6" s="61" customFormat="1"/>
    <row r="393" spans="3:6" s="61" customFormat="1"/>
    <row r="394" spans="3:6" s="61" customFormat="1"/>
    <row r="395" spans="3:6" s="23" customFormat="1" ht="15.6">
      <c r="C395" s="111" t="s">
        <v>614</v>
      </c>
      <c r="F395" s="111" t="s">
        <v>28</v>
      </c>
    </row>
    <row r="396" spans="3:6" s="23" customFormat="1"/>
    <row r="397" spans="3:6" s="23" customFormat="1">
      <c r="D397" s="26" t="s">
        <v>615</v>
      </c>
      <c r="F397" s="68" t="s">
        <v>616</v>
      </c>
    </row>
    <row r="398" spans="3:6" s="23" customFormat="1">
      <c r="D398" s="40" t="s">
        <v>369</v>
      </c>
      <c r="F398" s="68"/>
    </row>
    <row r="399" spans="3:6" s="23" customFormat="1">
      <c r="D399" s="40" t="s">
        <v>370</v>
      </c>
      <c r="F399" s="68"/>
    </row>
    <row r="400" spans="3:6" s="23" customFormat="1">
      <c r="D400" s="40" t="s">
        <v>371</v>
      </c>
      <c r="F400" s="68"/>
    </row>
    <row r="401" spans="3:6" s="23" customFormat="1">
      <c r="D401" s="40" t="s">
        <v>372</v>
      </c>
      <c r="F401" s="68"/>
    </row>
    <row r="402" spans="3:6" s="23" customFormat="1"/>
    <row r="403" spans="3:6" s="23" customFormat="1"/>
    <row r="404" spans="3:6" s="61" customFormat="1" ht="15.6">
      <c r="C404" s="111" t="s">
        <v>838</v>
      </c>
      <c r="F404" s="111" t="s">
        <v>28</v>
      </c>
    </row>
    <row r="405" spans="3:6" s="61" customFormat="1"/>
    <row r="406" spans="3:6" s="61" customFormat="1">
      <c r="D406" s="26" t="s">
        <v>839</v>
      </c>
      <c r="F406" s="68" t="s">
        <v>840</v>
      </c>
    </row>
    <row r="407" spans="3:6" s="61" customFormat="1">
      <c r="D407" s="170" t="str">
        <f>DASHBOARD!F50</f>
        <v>Microplanning</v>
      </c>
      <c r="F407" s="68"/>
    </row>
    <row r="408" spans="3:6" s="61" customFormat="1">
      <c r="D408" s="170" t="str">
        <f>DASHBOARD!F51</f>
        <v>Procurement</v>
      </c>
      <c r="F408" s="68"/>
    </row>
    <row r="409" spans="3:6" s="61" customFormat="1">
      <c r="D409" s="170" t="str">
        <f>DASHBOARD!F52</f>
        <v>Distribution</v>
      </c>
      <c r="F409" s="68"/>
    </row>
    <row r="410" spans="3:6" s="61" customFormat="1">
      <c r="D410" s="170" t="str">
        <f>DASHBOARD!F53</f>
        <v>Training</v>
      </c>
      <c r="F410" s="68"/>
    </row>
    <row r="411" spans="3:6" s="61" customFormat="1">
      <c r="D411" s="170" t="str">
        <f>DASHBOARD!F54</f>
        <v>Social Mobilisation / IEC</v>
      </c>
      <c r="F411" s="68"/>
    </row>
    <row r="412" spans="3:6" s="61" customFormat="1">
      <c r="D412" s="170" t="str">
        <f>DASHBOARD!F55</f>
        <v>Immunization Activities</v>
      </c>
      <c r="F412" s="68"/>
    </row>
    <row r="413" spans="3:6" s="61" customFormat="1">
      <c r="D413" s="170" t="str">
        <f>DASHBOARD!F56</f>
        <v>Supervision and Monitoring Activities</v>
      </c>
      <c r="F413" s="68"/>
    </row>
    <row r="414" spans="3:6" s="61" customFormat="1">
      <c r="D414" s="170" t="str">
        <f>DASHBOARD!F57</f>
        <v>Other Activities</v>
      </c>
      <c r="F414" s="68"/>
    </row>
    <row r="415" spans="3:6" s="61" customFormat="1">
      <c r="D415" s="311" t="str">
        <f>DASHBOARD!F58</f>
        <v>TOTAL RECURRENT COSTS</v>
      </c>
      <c r="F415" s="312"/>
    </row>
    <row r="416" spans="3:6" s="23" customFormat="1"/>
    <row r="417" s="23" customFormat="1"/>
    <row r="418" s="23" customFormat="1"/>
    <row r="419" s="23" customFormat="1"/>
    <row r="420" s="23" customFormat="1"/>
    <row r="421" s="23" customFormat="1"/>
    <row r="422" s="23" customFormat="1"/>
    <row r="423" s="23" customFormat="1"/>
    <row r="424" s="23" customFormat="1"/>
    <row r="425" s="23" customFormat="1"/>
  </sheetData>
  <mergeCells count="1">
    <mergeCell ref="B3:D3"/>
  </mergeCells>
  <hyperlinks>
    <hyperlink ref="A4" location="$B$5" tooltip="Go to Top of Sheet" display="$B$5" xr:uid="{00000000-0004-0000-2800-000000000000}"/>
    <hyperlink ref="C4" location="HL_Sheet_Main_49" tooltip="Go to Next Sheet" display="HL_Sheet_Main_49" xr:uid="{00000000-0004-0000-2800-000001000000}"/>
    <hyperlink ref="B4" location="HL_Sheet_Main_9" tooltip="Go to Previous Sheet" display="HL_Sheet_Main_9" xr:uid="{00000000-0004-0000-2800-000002000000}"/>
    <hyperlink ref="B3" location="HL_Home" tooltip="Go to Table of Contents" display="HL_Home" xr:uid="{00000000-0004-0000-2800-000003000000}"/>
  </hyperlinks>
  <pageMargins left="0.4" right="0.4" top="0.6" bottom="1" header="0" footer="0.3"/>
  <pageSetup orientation="landscape" horizontalDpi="4294967292" verticalDpi="0" r:id="rId1"/>
  <headerFooter>
    <oddFooter>&amp;L&amp;F
&amp;A
Printed: &amp;T on &amp;D&amp;C&amp;",Bold"Sheet 3.3.b.
Page &amp;P of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0">
    <tabColor indexed="10"/>
    <pageSetUpPr autoPageBreaks="0" fitToPage="1"/>
  </sheetPr>
  <dimension ref="C9:G20"/>
  <sheetViews>
    <sheetView showGridLines="0" zoomScaleNormal="100" workbookViewId="0"/>
  </sheetViews>
  <sheetFormatPr defaultColWidth="11.6640625" defaultRowHeight="14.4"/>
  <cols>
    <col min="3" max="6" width="3.6640625" customWidth="1"/>
  </cols>
  <sheetData>
    <row r="9" spans="3:7" ht="21">
      <c r="C9" s="56" t="s">
        <v>7</v>
      </c>
    </row>
    <row r="10" spans="3:7" ht="19.8">
      <c r="C10" s="7" t="s">
        <v>829</v>
      </c>
    </row>
    <row r="11" spans="3:7" ht="18">
      <c r="C11" s="4" t="str">
        <f>Model_Name</f>
        <v>Seasonal Influenza Immunization Costing Tool (SIICT)  - Test Country</v>
      </c>
    </row>
    <row r="12" spans="3:7">
      <c r="C12" s="668" t="s">
        <v>1</v>
      </c>
      <c r="D12" s="668"/>
      <c r="E12" s="668"/>
      <c r="F12" s="668"/>
      <c r="G12" s="668"/>
    </row>
    <row r="13" spans="3:7">
      <c r="C13" s="5" t="s">
        <v>4</v>
      </c>
      <c r="D13" s="6" t="s">
        <v>5</v>
      </c>
    </row>
    <row r="17" spans="3:3">
      <c r="C17" s="2"/>
    </row>
    <row r="18" spans="3:3">
      <c r="C18" s="3"/>
    </row>
    <row r="19" spans="3:3">
      <c r="C19" s="3"/>
    </row>
    <row r="20" spans="3:3">
      <c r="C20" s="3"/>
    </row>
  </sheetData>
  <mergeCells count="1">
    <mergeCell ref="C12:G12"/>
  </mergeCells>
  <hyperlinks>
    <hyperlink ref="D13" location="HL_Sheet_Main_8" tooltip="Go to Next Sheet" display="HL_Sheet_Main_8" xr:uid="{00000000-0004-0000-2900-000000000000}"/>
    <hyperlink ref="C13" location="HL_Sheet_Main_27" tooltip="Go to Previous Sheet" display="HL_Sheet_Main_27" xr:uid="{00000000-0004-0000-2900-000001000000}"/>
    <hyperlink ref="C12" location="HL_Home" tooltip="Go to Table of Contents" display="HL_Home" xr:uid="{00000000-0004-0000-2900-000002000000}"/>
  </hyperlinks>
  <pageMargins left="0.4" right="0.4" top="0.6" bottom="1" header="0" footer="0.3"/>
  <pageSetup orientation="landscape" horizontalDpi="4294967292" verticalDpi="0" r:id="rId1"/>
  <headerFooter>
    <oddFooter>&amp;L&amp;F
&amp;A
Printed: &amp;T on &amp;D&amp;C&amp;",Bold"Sub-Section 3.4.
Page &amp;P of &amp;N</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21">
    <tabColor indexed="12"/>
    <pageSetUpPr autoPageBreaks="0"/>
  </sheetPr>
  <dimension ref="A1:M45"/>
  <sheetViews>
    <sheetView showGridLines="0" zoomScaleNormal="100" workbookViewId="0">
      <pane xSplit="1" ySplit="4" topLeftCell="B5" activePane="bottomRight" state="frozen"/>
      <selection pane="topRight"/>
      <selection pane="bottomLeft"/>
      <selection pane="bottomRight"/>
    </sheetView>
  </sheetViews>
  <sheetFormatPr defaultColWidth="11.6640625" defaultRowHeight="14.4"/>
  <cols>
    <col min="1" max="5" width="3.6640625" style="134" customWidth="1"/>
    <col min="6" max="16384" width="11.6640625" style="134"/>
  </cols>
  <sheetData>
    <row r="1" spans="1:13" ht="21">
      <c r="B1" s="53" t="s">
        <v>7</v>
      </c>
    </row>
    <row r="2" spans="1:13" ht="18">
      <c r="B2" s="47" t="str">
        <f>Model_Name</f>
        <v>Seasonal Influenza Immunization Costing Tool (SIICT)  - Test Country</v>
      </c>
    </row>
    <row r="3" spans="1:13">
      <c r="B3" s="716" t="s">
        <v>1</v>
      </c>
      <c r="C3" s="716"/>
      <c r="D3" s="716"/>
      <c r="E3" s="716"/>
      <c r="F3" s="716"/>
    </row>
    <row r="4" spans="1:13">
      <c r="A4" s="48" t="s">
        <v>3</v>
      </c>
      <c r="B4" s="49" t="s">
        <v>4</v>
      </c>
      <c r="C4" s="50"/>
      <c r="D4" s="51" t="s">
        <v>25</v>
      </c>
      <c r="E4" s="79" t="s">
        <v>26</v>
      </c>
      <c r="F4" s="52" t="s">
        <v>27</v>
      </c>
    </row>
    <row r="7" spans="1:13" ht="17.399999999999999">
      <c r="B7" s="30" t="s">
        <v>8</v>
      </c>
    </row>
    <row r="9" spans="1:13" ht="17.25" customHeight="1">
      <c r="C9" s="31" t="b">
        <v>0</v>
      </c>
    </row>
    <row r="11" spans="1:13">
      <c r="C11" s="32" t="s">
        <v>13</v>
      </c>
      <c r="H11" s="33">
        <f>Err_Chks_Ttl_Areas</f>
        <v>7</v>
      </c>
      <c r="I11" s="34" t="str">
        <f>IF(OR(NOT(CB_Err_Chks_Show_Msg),Err_Chks_Ttl_Areas=0),"",IF(Err_Chks_Ttl_Areas=1," (Error in "&amp;INDEX(CA_Err_Chks_Area_Names,MATCH(1,CA_Err_Chks_Flags,0))&amp;")"," ("&amp;TEXT(Err_Chks_Ttl_Areas,"#,##0")&amp;" Errors Detected)"))</f>
        <v/>
      </c>
    </row>
    <row r="13" spans="1:13">
      <c r="C13" s="35" t="s">
        <v>8</v>
      </c>
      <c r="D13" s="36"/>
      <c r="E13" s="36"/>
      <c r="F13" s="36"/>
      <c r="G13" s="36"/>
      <c r="H13" s="36"/>
      <c r="I13" s="36"/>
      <c r="J13" s="36"/>
      <c r="K13" s="37" t="s">
        <v>9</v>
      </c>
      <c r="L13" s="37" t="s">
        <v>10</v>
      </c>
      <c r="M13" s="37" t="s">
        <v>11</v>
      </c>
    </row>
    <row r="14" spans="1:13" ht="7.5" customHeight="1">
      <c r="C14" s="83"/>
      <c r="D14" s="84"/>
      <c r="E14" s="84"/>
      <c r="F14" s="84"/>
      <c r="G14" s="84"/>
      <c r="H14" s="84"/>
      <c r="I14" s="84"/>
      <c r="J14" s="84"/>
      <c r="K14" s="85"/>
      <c r="L14" s="85"/>
      <c r="M14" s="85"/>
    </row>
    <row r="15" spans="1:13">
      <c r="C15" s="150" t="str">
        <f>IF(ISERROR(Err_Chk_5_Hdg),"Miscellaneous Check",Err_Chk_5_Hdg)</f>
        <v>Miscellaneous Check</v>
      </c>
      <c r="D15" s="344"/>
      <c r="E15" s="344"/>
      <c r="F15" s="344"/>
      <c r="G15" s="344"/>
      <c r="H15" s="344"/>
      <c r="I15" s="344"/>
      <c r="J15" s="344"/>
      <c r="K15" s="356">
        <f>IF(ISERROR(HL_Err_Chk_5),1,(HL_Err_Chk_5&lt;&gt;0)*1)</f>
        <v>1</v>
      </c>
      <c r="L15" s="357" t="s">
        <v>196</v>
      </c>
      <c r="M15" s="358">
        <f t="shared" ref="M15:M21" si="0">K15*(L15="Yes")</f>
        <v>1</v>
      </c>
    </row>
    <row r="16" spans="1:13" s="23" customFormat="1">
      <c r="C16" s="150" t="str">
        <f>IF(ISERROR(Err_Chk_6_Hdg),"Miscellaneous Check",Err_Chk_6_Hdg)</f>
        <v>Miscellaneous Check</v>
      </c>
      <c r="D16" s="344"/>
      <c r="E16" s="344"/>
      <c r="F16" s="344"/>
      <c r="G16" s="344"/>
      <c r="H16" s="344"/>
      <c r="I16" s="344"/>
      <c r="J16" s="344"/>
      <c r="K16" s="356">
        <f>IF(ISERROR(HL_Err_Chk_6),1,(HL_Err_Chk_6&lt;&gt;0)*1)</f>
        <v>1</v>
      </c>
      <c r="L16" s="357" t="s">
        <v>196</v>
      </c>
      <c r="M16" s="358">
        <f t="shared" si="0"/>
        <v>1</v>
      </c>
    </row>
    <row r="17" spans="2:13" s="23" customFormat="1">
      <c r="C17" s="150" t="str">
        <f>IF(ISERROR(Err_Chk_12_Hdg),"Miscellaneous Check",Err_Chk_12_Hdg)</f>
        <v>Miscellaneous Check</v>
      </c>
      <c r="D17" s="344"/>
      <c r="E17" s="344"/>
      <c r="F17" s="344"/>
      <c r="G17" s="344"/>
      <c r="H17" s="344"/>
      <c r="I17" s="344"/>
      <c r="J17" s="344"/>
      <c r="K17" s="356">
        <f>IF(ISERROR(HL_Err_Chk_12),1,(HL_Err_Chk_12&lt;&gt;0)*1)</f>
        <v>1</v>
      </c>
      <c r="L17" s="357" t="s">
        <v>196</v>
      </c>
      <c r="M17" s="358">
        <f t="shared" si="0"/>
        <v>1</v>
      </c>
    </row>
    <row r="18" spans="2:13" s="23" customFormat="1">
      <c r="C18" s="150" t="str">
        <f>IF(ISERROR(Err_Chk_8_Hdg),"Miscellaneous Check",Err_Chk_8_Hdg)</f>
        <v>Miscellaneous Check</v>
      </c>
      <c r="D18" s="344"/>
      <c r="E18" s="344"/>
      <c r="F18" s="344"/>
      <c r="G18" s="344"/>
      <c r="H18" s="344"/>
      <c r="I18" s="344"/>
      <c r="J18" s="344"/>
      <c r="K18" s="356">
        <f>IF(ISERROR(HL_Err_Chk_8),1,(HL_Err_Chk_8&lt;&gt;0)*1)</f>
        <v>1</v>
      </c>
      <c r="L18" s="357" t="s">
        <v>196</v>
      </c>
      <c r="M18" s="358">
        <f t="shared" si="0"/>
        <v>1</v>
      </c>
    </row>
    <row r="19" spans="2:13" s="23" customFormat="1">
      <c r="C19" s="150" t="str">
        <f>IF(ISERROR(Err_Chk_9_Hdg),"Miscellaneous Check",Err_Chk_9_Hdg)</f>
        <v>Miscellaneous Check</v>
      </c>
      <c r="D19" s="344"/>
      <c r="E19" s="344"/>
      <c r="F19" s="344"/>
      <c r="G19" s="344"/>
      <c r="H19" s="344"/>
      <c r="I19" s="344"/>
      <c r="J19" s="344"/>
      <c r="K19" s="356">
        <f>IF(ISERROR(HL_Err_Chk_9),1,(HL_Err_Chk_9&lt;&gt;0)*1)</f>
        <v>1</v>
      </c>
      <c r="L19" s="357" t="s">
        <v>196</v>
      </c>
      <c r="M19" s="358">
        <f t="shared" si="0"/>
        <v>1</v>
      </c>
    </row>
    <row r="20" spans="2:13" s="23" customFormat="1">
      <c r="C20" s="150" t="str">
        <f>IF(ISERROR(Err_Chk_10_Hdg),"Miscellaneous Check",Err_Chk_10_Hdg)</f>
        <v>Miscellaneous Check</v>
      </c>
      <c r="D20" s="344"/>
      <c r="E20" s="344"/>
      <c r="F20" s="344"/>
      <c r="G20" s="344"/>
      <c r="H20" s="344"/>
      <c r="I20" s="344"/>
      <c r="J20" s="344"/>
      <c r="K20" s="356">
        <f>IF(ISERROR(HL_Err_Chk_10),1,(HL_Err_Chk_10&lt;&gt;0)*1)</f>
        <v>1</v>
      </c>
      <c r="L20" s="357" t="s">
        <v>196</v>
      </c>
      <c r="M20" s="358">
        <f t="shared" si="0"/>
        <v>1</v>
      </c>
    </row>
    <row r="21" spans="2:13" s="23" customFormat="1">
      <c r="C21" s="150" t="str">
        <f>IF(ISERROR(Err_Chk_11_Hdg),"Miscellaneous Check",Err_Chk_11_Hdg)</f>
        <v>Miscellaneous Check</v>
      </c>
      <c r="D21" s="344"/>
      <c r="E21" s="344"/>
      <c r="F21" s="344"/>
      <c r="G21" s="344"/>
      <c r="H21" s="344"/>
      <c r="I21" s="344"/>
      <c r="J21" s="344"/>
      <c r="K21" s="356">
        <f>IF(ISERROR(HL_Err_Chk_11),1,(HL_Err_Chk_11&lt;&gt;0)*1)</f>
        <v>1</v>
      </c>
      <c r="L21" s="357" t="s">
        <v>196</v>
      </c>
      <c r="M21" s="358">
        <f t="shared" si="0"/>
        <v>1</v>
      </c>
    </row>
    <row r="22" spans="2:13" ht="7.5" customHeight="1">
      <c r="C22" s="23"/>
    </row>
    <row r="23" spans="2:13">
      <c r="C23" s="336" t="s">
        <v>12</v>
      </c>
      <c r="M23" s="38">
        <f>SUMIF(CA_Err_Chks_Inc,"Yes",CA_Err_Chks_Flags)</f>
        <v>7</v>
      </c>
    </row>
    <row r="26" spans="2:13" ht="17.399999999999999">
      <c r="B26" s="30" t="s">
        <v>14</v>
      </c>
    </row>
    <row r="28" spans="2:13" ht="17.25" customHeight="1">
      <c r="C28" s="31" t="b">
        <v>0</v>
      </c>
    </row>
    <row r="30" spans="2:13">
      <c r="C30" s="32" t="s">
        <v>16</v>
      </c>
      <c r="H30" s="33">
        <f>Sens_Chks_Ttl_Areas</f>
        <v>0</v>
      </c>
      <c r="I30" s="34" t="str">
        <f>IF(OR(NOT(CB_Sens_Chks_Show_Msg),Sens_Chks_Ttl_Areas=0),"",IF(Sens_Chks_Ttl_Areas=1," (Sensitivity in "&amp;INDEX(CA_Sens_Chks_Area_Names,MATCH(1,CA_Sens_Chks_Flags,0))&amp;")"," ("&amp;TEXT(Sens_Chks_Ttl_Areas,"#,##0")&amp;" Sensitivities Detected)"))</f>
        <v/>
      </c>
    </row>
    <row r="32" spans="2:13">
      <c r="C32" s="35" t="s">
        <v>14</v>
      </c>
      <c r="D32" s="36"/>
      <c r="E32" s="36"/>
      <c r="F32" s="36"/>
      <c r="G32" s="36"/>
      <c r="H32" s="36"/>
      <c r="I32" s="36"/>
      <c r="J32" s="36"/>
      <c r="K32" s="37" t="s">
        <v>9</v>
      </c>
      <c r="L32" s="37" t="s">
        <v>10</v>
      </c>
      <c r="M32" s="37" t="s">
        <v>11</v>
      </c>
    </row>
    <row r="33" spans="2:13">
      <c r="C33" s="23"/>
    </row>
    <row r="34" spans="2:13">
      <c r="C34" s="336" t="s">
        <v>15</v>
      </c>
      <c r="M34" s="38">
        <f>SUMIF(CA_Sens_Chks_Inc,"Yes",CA_Sens_Chks_Flags)</f>
        <v>0</v>
      </c>
    </row>
    <row r="37" spans="2:13" ht="17.399999999999999">
      <c r="B37" s="30" t="s">
        <v>17</v>
      </c>
    </row>
    <row r="39" spans="2:13" ht="17.25" customHeight="1">
      <c r="C39" s="31" t="b">
        <v>0</v>
      </c>
    </row>
    <row r="41" spans="2:13">
      <c r="C41" s="32" t="s">
        <v>19</v>
      </c>
      <c r="H41" s="33">
        <f>Alt_Chks_Ttl_Areas</f>
        <v>0</v>
      </c>
      <c r="I41" s="34" t="str">
        <f>IF(OR(NOT(CB_Alt_Chks_Show_Msg),Alt_Chks_Ttl_Areas=0),"",IF(Alt_Chks_Ttl_Areas=1," (Alert in "&amp;INDEX(CA_Alt_Chks_Area_Names,MATCH(1,CA_Alt_Chks_Flags,0))&amp;")"," ("&amp;TEXT(Alt_Chks_Ttl_Areas,"#,##0")&amp;" Alerts Detected)"))</f>
        <v/>
      </c>
    </row>
    <row r="43" spans="2:13">
      <c r="C43" s="35" t="s">
        <v>17</v>
      </c>
      <c r="D43" s="36"/>
      <c r="E43" s="36"/>
      <c r="F43" s="36"/>
      <c r="G43" s="36"/>
      <c r="H43" s="36"/>
      <c r="I43" s="36"/>
      <c r="J43" s="36"/>
      <c r="K43" s="37" t="s">
        <v>9</v>
      </c>
      <c r="L43" s="37" t="s">
        <v>10</v>
      </c>
      <c r="M43" s="37" t="s">
        <v>11</v>
      </c>
    </row>
    <row r="44" spans="2:13" customFormat="1">
      <c r="C44" s="61"/>
    </row>
    <row r="45" spans="2:13">
      <c r="C45" s="336" t="s">
        <v>18</v>
      </c>
      <c r="M45" s="38">
        <f>SUMIF(CA_Alt_Chks_Inc,"Yes",CA_Alt_Chks_Flags)</f>
        <v>0</v>
      </c>
    </row>
  </sheetData>
  <mergeCells count="1">
    <mergeCell ref="B3:F3"/>
  </mergeCells>
  <conditionalFormatting sqref="C15:C21">
    <cfRule type="expression" dxfId="9" priority="367" stopIfTrue="1">
      <formula>K15&lt;&gt;0</formula>
    </cfRule>
  </conditionalFormatting>
  <conditionalFormatting sqref="H11">
    <cfRule type="cellIs" dxfId="8" priority="2" stopIfTrue="1" operator="notEqual">
      <formula>0</formula>
    </cfRule>
  </conditionalFormatting>
  <conditionalFormatting sqref="H30">
    <cfRule type="cellIs" dxfId="7" priority="4" stopIfTrue="1" operator="notEqual">
      <formula>0</formula>
    </cfRule>
  </conditionalFormatting>
  <conditionalFormatting sqref="H41">
    <cfRule type="cellIs" dxfId="6" priority="6" stopIfTrue="1" operator="notEqual">
      <formula>0</formula>
    </cfRule>
  </conditionalFormatting>
  <conditionalFormatting sqref="K15:K21">
    <cfRule type="cellIs" dxfId="5" priority="368" stopIfTrue="1" operator="notEqual">
      <formula>0</formula>
    </cfRule>
  </conditionalFormatting>
  <conditionalFormatting sqref="L15:L21">
    <cfRule type="expression" dxfId="4" priority="369" stopIfTrue="1">
      <formula>K15&lt;&gt;0</formula>
    </cfRule>
  </conditionalFormatting>
  <conditionalFormatting sqref="M15:M21">
    <cfRule type="expression" dxfId="3" priority="370" stopIfTrue="1">
      <formula>K15&lt;&gt;0</formula>
    </cfRule>
  </conditionalFormatting>
  <conditionalFormatting sqref="M23">
    <cfRule type="cellIs" dxfId="2" priority="1" stopIfTrue="1" operator="notEqual">
      <formula>0</formula>
    </cfRule>
  </conditionalFormatting>
  <conditionalFormatting sqref="M34">
    <cfRule type="cellIs" dxfId="1" priority="3" stopIfTrue="1" operator="notEqual">
      <formula>0</formula>
    </cfRule>
  </conditionalFormatting>
  <conditionalFormatting sqref="M45">
    <cfRule type="cellIs" dxfId="0" priority="5" stopIfTrue="1" operator="notEqual">
      <formula>0</formula>
    </cfRule>
  </conditionalFormatting>
  <dataValidations count="2">
    <dataValidation type="custom" showDropDown="1" showErrorMessage="1" errorTitle="Check Box Cell Link" error="The value in an option button cell link must be either &quot;TRUE&quot; or &quot;FALSE&quot;" sqref="C9 C39 C28" xr:uid="{00000000-0002-0000-2A00-000000000000}">
      <formula1>ISLOGICAL(C9)</formula1>
    </dataValidation>
    <dataValidation type="list" showErrorMessage="1" errorTitle="Include Error Check" error="The include error check trigger must correspond with one of the options provided in the drop down list." sqref="L15:L21" xr:uid="{00000000-0002-0000-2A00-000001000000}">
      <formula1>"Yes,No"</formula1>
    </dataValidation>
  </dataValidations>
  <hyperlinks>
    <hyperlink ref="A4" location="$B$5" tooltip="Go to Top of Sheet" display="$B$5" xr:uid="{00000000-0004-0000-2A00-000000000000}"/>
    <hyperlink ref="B4" location="HL_Sheet_Main_49" tooltip="Go to Previous Sheet" display="HL_Sheet_Main_49" xr:uid="{00000000-0004-0000-2A00-000001000000}"/>
    <hyperlink ref="C15:J15" location="HL_Err_Chk_5" tooltip="Go to Dashboard " display="HL_Err_Chk_5" xr:uid="{00000000-0004-0000-2A00-000002000000}"/>
    <hyperlink ref="C16:J16" location="HL_Err_Chk_6" tooltip="Go to Dashboard " display="HL_Err_Chk_6" xr:uid="{00000000-0004-0000-2A00-000003000000}"/>
    <hyperlink ref="C17:J17" location="HL_Err_Chk_12" tooltip="Go to Dashboard " display="HL_Err_Chk_12" xr:uid="{00000000-0004-0000-2A00-000004000000}"/>
    <hyperlink ref="C18:J18" location="HL_Err_Chk_8" tooltip="Go to Dashboard " display="HL_Err_Chk_8" xr:uid="{00000000-0004-0000-2A00-000005000000}"/>
    <hyperlink ref="C19:J19" location="HL_Err_Chk_9" tooltip="Go to Dashboard " display="HL_Err_Chk_9" xr:uid="{00000000-0004-0000-2A00-000006000000}"/>
    <hyperlink ref="C20:J20" location="HL_Err_Chk_10" tooltip="Go to Dashboard " display="HL_Err_Chk_10" xr:uid="{00000000-0004-0000-2A00-000007000000}"/>
    <hyperlink ref="C21:J21" location="HL_Err_Chk_11" tooltip="Go to Dashboard " display="HL_Err_Chk_11" xr:uid="{00000000-0004-0000-2A00-000008000000}"/>
    <hyperlink ref="B3" location="HL_Home" tooltip="Go to Table of Contents" display="HL_Home" xr:uid="{00000000-0004-0000-2A00-000009000000}"/>
    <hyperlink ref="D4" location="HL_Err_Chk" tooltip="Go to Error Checks" display="HL_Err_Chk" xr:uid="{00000000-0004-0000-2A00-00000A000000}"/>
    <hyperlink ref="E4" location="HL_Sens_Chk" tooltip="Go to Sensitivity Checks" display="HL_Sens_Chk" xr:uid="{00000000-0004-0000-2A00-00000B000000}"/>
    <hyperlink ref="F4" location="HL_Alt_Chk" tooltip="Go to Alert Checks" display="HL_Alt_Chk" xr:uid="{00000000-0004-0000-2A00-00000C000000}"/>
  </hyperlinks>
  <pageMargins left="0.4" right="0.4" top="0.6" bottom="1" header="0" footer="0.3"/>
  <pageSetup orientation="landscape" horizontalDpi="4294967292" verticalDpi="0" r:id="rId1"/>
  <headerFooter>
    <oddFooter>&amp;L&amp;F
&amp;A
Printed: &amp;T on &amp;D&amp;C&amp;",Bold"Sheet 3.4.a.
Page &amp;P of &amp;N</oddFooter>
  </headerFooter>
  <rowBreaks count="2" manualBreakCount="2">
    <brk id="23" max="16383" man="1"/>
    <brk id="34" max="16383" man="1"/>
  </rowBreaks>
  <customProperties>
    <customPr name="LastActive"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B_Err_Chks_Show_Msg">
              <controlPr defaultSize="0" autoFill="0" autoLine="0" autoPict="0">
                <anchor moveWithCells="1">
                  <from>
                    <xdr:col>2</xdr:col>
                    <xdr:colOff>0</xdr:colOff>
                    <xdr:row>8</xdr:row>
                    <xdr:rowOff>0</xdr:rowOff>
                  </from>
                  <to>
                    <xdr:col>7</xdr:col>
                    <xdr:colOff>487680</xdr:colOff>
                    <xdr:row>9</xdr:row>
                    <xdr:rowOff>0</xdr:rowOff>
                  </to>
                </anchor>
              </controlPr>
            </control>
          </mc:Choice>
        </mc:AlternateContent>
        <mc:AlternateContent xmlns:mc="http://schemas.openxmlformats.org/markup-compatibility/2006">
          <mc:Choice Requires="x14">
            <control shapeId="2050" r:id="rId6" name="CB_Sens_Chks_Show_Msg">
              <controlPr defaultSize="0" autoFill="0" autoLine="0" autoPict="0">
                <anchor moveWithCells="1">
                  <from>
                    <xdr:col>2</xdr:col>
                    <xdr:colOff>0</xdr:colOff>
                    <xdr:row>27</xdr:row>
                    <xdr:rowOff>0</xdr:rowOff>
                  </from>
                  <to>
                    <xdr:col>7</xdr:col>
                    <xdr:colOff>487680</xdr:colOff>
                    <xdr:row>28</xdr:row>
                    <xdr:rowOff>0</xdr:rowOff>
                  </to>
                </anchor>
              </controlPr>
            </control>
          </mc:Choice>
        </mc:AlternateContent>
        <mc:AlternateContent xmlns:mc="http://schemas.openxmlformats.org/markup-compatibility/2006">
          <mc:Choice Requires="x14">
            <control shapeId="2051" r:id="rId7" name="CB_Alt_Chks_Show_Msg">
              <controlPr defaultSize="0" autoFill="0" autoLine="0" autoPict="0">
                <anchor moveWithCells="1">
                  <from>
                    <xdr:col>2</xdr:col>
                    <xdr:colOff>0</xdr:colOff>
                    <xdr:row>38</xdr:row>
                    <xdr:rowOff>0</xdr:rowOff>
                  </from>
                  <to>
                    <xdr:col>7</xdr:col>
                    <xdr:colOff>487680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7030A0"/>
    <pageSetUpPr autoPageBreaks="0"/>
  </sheetPr>
  <dimension ref="A1:V93"/>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2.44140625" defaultRowHeight="14.4"/>
  <cols>
    <col min="1" max="1" width="3.6640625" customWidth="1"/>
    <col min="2" max="2" width="2.44140625" customWidth="1"/>
    <col min="3" max="4" width="4" customWidth="1"/>
    <col min="5" max="6" width="2.44140625" customWidth="1"/>
    <col min="7" max="8" width="29.6640625" customWidth="1"/>
    <col min="9" max="9" width="3.88671875" customWidth="1"/>
    <col min="10" max="10" width="14" customWidth="1"/>
    <col min="11" max="11" width="15.6640625" customWidth="1"/>
    <col min="12" max="12" width="3.44140625" customWidth="1"/>
    <col min="13" max="13" width="4.109375" customWidth="1"/>
    <col min="14" max="14" width="15.33203125" customWidth="1"/>
    <col min="15" max="15" width="18" customWidth="1"/>
    <col min="16" max="17" width="3.88671875" customWidth="1"/>
    <col min="18" max="18" width="15.6640625" customWidth="1"/>
    <col min="19" max="19" width="15.33203125" customWidth="1"/>
    <col min="20" max="20" width="4.44140625" customWidth="1"/>
    <col min="21" max="21" width="3.6640625" customWidth="1"/>
    <col min="22" max="22" width="16.33203125" customWidth="1"/>
    <col min="23" max="23" width="4.44140625" customWidth="1"/>
    <col min="24" max="25" width="15.6640625" customWidth="1"/>
  </cols>
  <sheetData>
    <row r="1" spans="1:15" ht="50.1" customHeight="1" thickTop="1">
      <c r="B1" s="230" t="s">
        <v>823</v>
      </c>
      <c r="I1" s="11"/>
      <c r="J1" s="379" t="s">
        <v>766</v>
      </c>
      <c r="K1" s="11"/>
      <c r="L1" s="11"/>
      <c r="M1" s="11"/>
    </row>
    <row r="2" spans="1:15" ht="18.600000000000001" thickBot="1">
      <c r="B2" s="164" t="str">
        <f>Model_Name</f>
        <v>Seasonal Influenza Immunization Costing Tool (SIICT)  - Test Country</v>
      </c>
      <c r="J2" s="371">
        <v>1</v>
      </c>
    </row>
    <row r="3" spans="1:15" ht="15" thickTop="1">
      <c r="B3" s="668" t="s">
        <v>1</v>
      </c>
      <c r="C3" s="668"/>
      <c r="D3" s="668"/>
      <c r="E3" s="668"/>
      <c r="F3" s="668"/>
      <c r="G3" s="668"/>
      <c r="H3" s="148"/>
      <c r="I3" s="148"/>
      <c r="J3" s="372"/>
    </row>
    <row r="4" spans="1:15">
      <c r="A4" s="54" t="s">
        <v>3</v>
      </c>
      <c r="B4" s="681" t="s">
        <v>4</v>
      </c>
      <c r="C4" s="681"/>
      <c r="D4" s="682" t="s">
        <v>5</v>
      </c>
      <c r="E4" s="682"/>
      <c r="F4" s="683" t="s">
        <v>25</v>
      </c>
      <c r="G4" s="683"/>
      <c r="H4" s="697" t="s">
        <v>26</v>
      </c>
      <c r="I4" s="697"/>
      <c r="J4" s="697"/>
      <c r="K4" s="684"/>
      <c r="L4" s="684"/>
      <c r="M4" s="684"/>
      <c r="N4" s="684"/>
    </row>
    <row r="6" spans="1:15" ht="21">
      <c r="F6" s="355" t="s">
        <v>768</v>
      </c>
    </row>
    <row r="7" spans="1:15">
      <c r="J7" s="696" t="str">
        <f ca="1">OFFSET(FLU_LU!$D$71,J27,0)&amp;" (CURRENCY SELECTED AT TOP OF SHEET)"</f>
        <v>Currency (CURRENCY SELECTED AT TOP OF SHEET)</v>
      </c>
      <c r="K7" s="696"/>
      <c r="L7" s="696"/>
      <c r="M7" s="696"/>
      <c r="N7" s="696"/>
    </row>
    <row r="8" spans="1:15">
      <c r="J8" s="331"/>
      <c r="K8" s="331"/>
      <c r="L8" s="331"/>
      <c r="M8" s="331"/>
      <c r="N8" s="331"/>
    </row>
    <row r="9" spans="1:15" ht="15.6">
      <c r="G9" s="387" t="s">
        <v>769</v>
      </c>
      <c r="J9" s="331" t="s">
        <v>166</v>
      </c>
      <c r="K9" s="331"/>
      <c r="L9" s="331"/>
      <c r="M9" s="331"/>
      <c r="N9" s="331" t="s">
        <v>167</v>
      </c>
    </row>
    <row r="10" spans="1:15">
      <c r="H10" s="361" t="s">
        <v>770</v>
      </c>
      <c r="I10" s="378" t="str">
        <f>IF($J$2=1,FLU_LU!$D$78,FLU_LU!$D$79)</f>
        <v>USD</v>
      </c>
      <c r="J10" s="391">
        <f ca="1">J75/$K$41</f>
        <v>10.512615997848583</v>
      </c>
      <c r="M10" s="378" t="str">
        <f>IF($J$2=1,FLU_LU!$D$78,FLU_LU!$D$79)</f>
        <v>USD</v>
      </c>
      <c r="N10" s="391">
        <f ca="1">N75/$K$41</f>
        <v>13.821776054054528</v>
      </c>
    </row>
    <row r="11" spans="1:15">
      <c r="H11" s="361" t="s">
        <v>771</v>
      </c>
      <c r="I11" s="378" t="str">
        <f>IF($J$2=1,FLU_LU!$D$78,FLU_LU!$D$79)</f>
        <v>USD</v>
      </c>
      <c r="J11" s="391">
        <f ca="1">(J75-J51)/$K$41</f>
        <v>2.5126126823086476</v>
      </c>
      <c r="M11" s="378" t="str">
        <f>IF($J$2=1,FLU_LU!$D$78,FLU_LU!$D$79)</f>
        <v>USD</v>
      </c>
      <c r="N11" s="391">
        <f ca="1">(N75-N51)/$K$41</f>
        <v>5.6372629410940824</v>
      </c>
    </row>
    <row r="13" spans="1:15" ht="15" thickBot="1">
      <c r="C13" s="219"/>
      <c r="D13" s="219"/>
      <c r="E13" s="219"/>
      <c r="F13" s="219"/>
      <c r="G13" s="219"/>
      <c r="H13" s="219"/>
      <c r="I13" s="219"/>
      <c r="J13" s="219"/>
      <c r="K13" s="219"/>
      <c r="L13" s="219"/>
      <c r="M13" s="219"/>
      <c r="N13" s="219"/>
      <c r="O13" s="219"/>
    </row>
    <row r="16" spans="1:15" ht="21">
      <c r="F16" s="355" t="s">
        <v>716</v>
      </c>
    </row>
    <row r="18" spans="6:15">
      <c r="F18" s="537" t="s">
        <v>725</v>
      </c>
      <c r="J18" s="331" t="s">
        <v>717</v>
      </c>
      <c r="K18" s="331" t="s">
        <v>718</v>
      </c>
      <c r="L18" s="331"/>
      <c r="M18" s="331"/>
      <c r="N18" s="240" t="s">
        <v>526</v>
      </c>
    </row>
    <row r="20" spans="6:15">
      <c r="F20" s="234" t="str">
        <f>TGT_POPS!D27</f>
        <v>Target Group 1</v>
      </c>
    </row>
    <row r="21" spans="6:15">
      <c r="G21" s="11" t="str">
        <f>TGT_POPS!D28</f>
        <v>Front Line Health Workers working in facilities with more than 200 workers</v>
      </c>
      <c r="H21" s="11"/>
      <c r="J21" s="235">
        <f>TGT_POPS!J28</f>
        <v>3468</v>
      </c>
      <c r="K21" s="235">
        <f>J21*N21</f>
        <v>1734</v>
      </c>
      <c r="L21" s="235"/>
      <c r="M21" s="235"/>
      <c r="N21" s="236">
        <f>TGT_POPS!J76</f>
        <v>0.5</v>
      </c>
      <c r="O21" s="380"/>
    </row>
    <row r="22" spans="6:15">
      <c r="G22" s="11" t="str">
        <f>TGT_POPS!D29</f>
        <v>Front Line Health Workers working in facilities with 100 to 200 workers</v>
      </c>
      <c r="H22" s="11"/>
      <c r="J22" s="235">
        <f>TGT_POPS!J29</f>
        <v>3449</v>
      </c>
      <c r="K22" s="235">
        <f>J22*N22</f>
        <v>2414.2999999999997</v>
      </c>
      <c r="L22" s="235"/>
      <c r="M22" s="235"/>
      <c r="N22" s="236">
        <f>TGT_POPS!J77</f>
        <v>0.7</v>
      </c>
      <c r="O22" s="380"/>
    </row>
    <row r="23" spans="6:15">
      <c r="G23" s="11" t="str">
        <f>TGT_POPS!D30</f>
        <v>Front Line Health Workers working in facilities with fewer than 100 workers</v>
      </c>
      <c r="H23" s="11"/>
      <c r="J23" s="235">
        <f>TGT_POPS!J30</f>
        <v>7000</v>
      </c>
      <c r="K23" s="235">
        <f>J23*N23</f>
        <v>4900</v>
      </c>
      <c r="L23" s="235"/>
      <c r="M23" s="235"/>
      <c r="N23" s="236">
        <f>TGT_POPS!J78</f>
        <v>0.7</v>
      </c>
      <c r="O23" s="380"/>
    </row>
    <row r="24" spans="6:15">
      <c r="G24" s="234" t="str">
        <f>TGT_POPS!D31</f>
        <v>All Target Group 1</v>
      </c>
      <c r="H24" s="234"/>
      <c r="J24" s="352">
        <f>TGT_POPS!J31</f>
        <v>13917</v>
      </c>
      <c r="K24" s="352">
        <f>SUM(K21:K23)</f>
        <v>9048.2999999999993</v>
      </c>
      <c r="L24" s="352"/>
      <c r="M24" s="352"/>
      <c r="N24" s="353">
        <f>K24/J24</f>
        <v>0.6501616727743047</v>
      </c>
    </row>
    <row r="25" spans="6:15">
      <c r="F25" s="234" t="str">
        <f>TGT_POPS!D33</f>
        <v>Target Group 2 [not in use]</v>
      </c>
      <c r="G25" s="11"/>
      <c r="H25" s="11"/>
    </row>
    <row r="26" spans="6:15">
      <c r="F26" s="11"/>
      <c r="G26" s="11">
        <f>TGT_POPS!D34</f>
        <v>0</v>
      </c>
      <c r="H26" s="11"/>
      <c r="J26" s="235">
        <f>TGT_POPS!J34</f>
        <v>0</v>
      </c>
      <c r="K26" s="235">
        <f>J26*N26</f>
        <v>0</v>
      </c>
      <c r="L26" s="235"/>
      <c r="M26" s="235"/>
      <c r="N26" s="236">
        <f>TGT_POPS!J82</f>
        <v>0.1</v>
      </c>
      <c r="O26" s="380"/>
    </row>
    <row r="27" spans="6:15">
      <c r="F27" s="11"/>
      <c r="G27" s="11">
        <f>TGT_POPS!D35</f>
        <v>0</v>
      </c>
      <c r="H27" s="11"/>
      <c r="J27" s="235">
        <f>TGT_POPS!J35</f>
        <v>0</v>
      </c>
      <c r="K27" s="235">
        <f>J27*N27</f>
        <v>0</v>
      </c>
      <c r="L27" s="235"/>
      <c r="M27" s="235"/>
      <c r="N27" s="236">
        <f>TGT_POPS!J83</f>
        <v>0.2</v>
      </c>
      <c r="O27" s="380"/>
    </row>
    <row r="28" spans="6:15">
      <c r="F28" s="11"/>
      <c r="G28" s="234" t="str">
        <f>TGT_POPS!D36</f>
        <v>All Target Group 2 [not in use]</v>
      </c>
      <c r="H28" s="234"/>
      <c r="J28" s="352">
        <f>TGT_POPS!J36</f>
        <v>0</v>
      </c>
      <c r="K28" s="352">
        <f>SUM(K26:K27)</f>
        <v>0</v>
      </c>
      <c r="L28" s="352"/>
      <c r="M28" s="352"/>
      <c r="N28" s="353" t="e">
        <f>K28/J28</f>
        <v>#DIV/0!</v>
      </c>
    </row>
    <row r="29" spans="6:15">
      <c r="F29" s="234" t="str">
        <f>TGT_POPS!D38</f>
        <v>Target Group 3 [not in use]</v>
      </c>
      <c r="G29" s="11"/>
      <c r="H29" s="11"/>
    </row>
    <row r="30" spans="6:15">
      <c r="F30" s="11"/>
      <c r="G30" s="11">
        <f>TGT_POPS!D39</f>
        <v>0</v>
      </c>
      <c r="H30" s="11"/>
      <c r="J30" s="235">
        <f>TGT_POPS!J39</f>
        <v>0</v>
      </c>
      <c r="K30" s="235">
        <f>J30*N30</f>
        <v>0</v>
      </c>
      <c r="L30" s="235"/>
      <c r="M30" s="235"/>
      <c r="N30" s="236">
        <f>TGT_POPS!J87</f>
        <v>0.3</v>
      </c>
      <c r="O30" s="380"/>
    </row>
    <row r="31" spans="6:15">
      <c r="F31" s="11"/>
      <c r="G31" s="11">
        <f>TGT_POPS!D40</f>
        <v>0</v>
      </c>
      <c r="H31" s="11"/>
      <c r="J31" s="235">
        <f>TGT_POPS!J40</f>
        <v>0</v>
      </c>
      <c r="K31" s="235">
        <f>J31*N31</f>
        <v>0</v>
      </c>
      <c r="L31" s="235"/>
      <c r="M31" s="235"/>
      <c r="N31" s="236">
        <f>TGT_POPS!J88</f>
        <v>0.4</v>
      </c>
      <c r="O31" s="380"/>
    </row>
    <row r="32" spans="6:15">
      <c r="F32" s="11"/>
      <c r="G32" s="234" t="str">
        <f>TGT_POPS!D41</f>
        <v>All Target Group 3 [not in use]</v>
      </c>
      <c r="H32" s="234"/>
      <c r="J32" s="352">
        <f>TGT_POPS!J41</f>
        <v>0</v>
      </c>
      <c r="K32" s="352">
        <f>SUM(K30:K31)</f>
        <v>0</v>
      </c>
      <c r="L32" s="352"/>
      <c r="M32" s="352"/>
      <c r="N32" s="353" t="e">
        <f>K32/J32</f>
        <v>#DIV/0!</v>
      </c>
    </row>
    <row r="33" spans="3:22">
      <c r="F33" s="234" t="str">
        <f>TGT_POPS!D43</f>
        <v>Target Group 4 [not in use]</v>
      </c>
      <c r="G33" s="11"/>
      <c r="H33" s="11"/>
    </row>
    <row r="34" spans="3:22">
      <c r="F34" s="11"/>
      <c r="G34" s="11">
        <f>TGT_POPS!D44</f>
        <v>0</v>
      </c>
      <c r="H34" s="11"/>
      <c r="J34" s="235">
        <f>TGT_POPS!J44</f>
        <v>0</v>
      </c>
      <c r="K34" s="235">
        <f>J34*N34</f>
        <v>0</v>
      </c>
      <c r="L34" s="235"/>
      <c r="M34" s="235"/>
      <c r="N34" s="236">
        <f>TGT_POPS!J92</f>
        <v>0.45</v>
      </c>
      <c r="O34" s="380"/>
    </row>
    <row r="35" spans="3:22">
      <c r="F35" s="11"/>
      <c r="G35" s="11">
        <f>TGT_POPS!D45</f>
        <v>0</v>
      </c>
      <c r="H35" s="11"/>
      <c r="J35" s="235">
        <f>TGT_POPS!J45</f>
        <v>0</v>
      </c>
      <c r="K35" s="235">
        <f>J35*N35</f>
        <v>0</v>
      </c>
      <c r="L35" s="235"/>
      <c r="M35" s="235"/>
      <c r="N35" s="236">
        <f>TGT_POPS!J93</f>
        <v>0.5</v>
      </c>
      <c r="O35" s="380"/>
    </row>
    <row r="36" spans="3:22">
      <c r="F36" s="11"/>
      <c r="G36" s="11">
        <f>TGT_POPS!D46</f>
        <v>0</v>
      </c>
      <c r="H36" s="11"/>
      <c r="J36" s="235">
        <f>TGT_POPS!J46</f>
        <v>0</v>
      </c>
      <c r="K36" s="235">
        <f>J36*N36</f>
        <v>0</v>
      </c>
      <c r="L36" s="235"/>
      <c r="M36" s="235"/>
      <c r="N36" s="236">
        <f>TGT_POPS!J94</f>
        <v>0.55000000000000004</v>
      </c>
      <c r="O36" s="380"/>
    </row>
    <row r="37" spans="3:22">
      <c r="F37" s="11"/>
      <c r="G37" s="11">
        <f>TGT_POPS!D47</f>
        <v>0</v>
      </c>
      <c r="H37" s="11"/>
      <c r="J37" s="235">
        <f>TGT_POPS!J47</f>
        <v>0</v>
      </c>
      <c r="K37" s="235">
        <f>J37*N37</f>
        <v>0</v>
      </c>
      <c r="L37" s="235"/>
      <c r="M37" s="235"/>
      <c r="N37" s="236">
        <f>TGT_POPS!J95</f>
        <v>0.6</v>
      </c>
      <c r="O37" s="380"/>
    </row>
    <row r="38" spans="3:22">
      <c r="F38" s="11"/>
      <c r="G38" s="11">
        <f>TGT_POPS!D48</f>
        <v>0</v>
      </c>
      <c r="H38" s="11"/>
      <c r="J38" s="235">
        <f>TGT_POPS!J48</f>
        <v>0</v>
      </c>
      <c r="K38" s="235">
        <f>J38*N38</f>
        <v>0</v>
      </c>
      <c r="L38" s="235"/>
      <c r="M38" s="235"/>
      <c r="N38" s="236">
        <f>TGT_POPS!J96</f>
        <v>0.65</v>
      </c>
      <c r="O38" s="380"/>
    </row>
    <row r="39" spans="3:22">
      <c r="F39" s="11"/>
      <c r="G39" s="234" t="str">
        <f>TGT_POPS!D49</f>
        <v>All Target Group 4 [not in use]</v>
      </c>
      <c r="H39" s="234"/>
      <c r="J39" s="352">
        <f>TGT_POPS!J49</f>
        <v>0</v>
      </c>
      <c r="K39" s="352">
        <f>SUM(K34:K38)</f>
        <v>0</v>
      </c>
      <c r="L39" s="352"/>
      <c r="M39" s="352"/>
      <c r="N39" s="353" t="e">
        <f>K39/J39</f>
        <v>#DIV/0!</v>
      </c>
    </row>
    <row r="40" spans="3:22">
      <c r="F40" s="11"/>
      <c r="G40" s="234"/>
      <c r="H40" s="234"/>
      <c r="J40" s="352"/>
      <c r="K40" s="352"/>
      <c r="L40" s="352"/>
      <c r="M40" s="352"/>
      <c r="N40" s="353"/>
    </row>
    <row r="41" spans="3:22" ht="15" thickBot="1">
      <c r="F41" s="537" t="str">
        <f>TGT_POPS!D51</f>
        <v>Total Target_Populations</v>
      </c>
      <c r="J41" s="238">
        <f>TGT_POPS!J51</f>
        <v>13917</v>
      </c>
      <c r="K41" s="238">
        <f>SUM(K24,K28,K32,K39)</f>
        <v>9048.2999999999993</v>
      </c>
      <c r="L41" s="238"/>
      <c r="M41" s="238"/>
      <c r="N41" s="354">
        <f>K41/J41</f>
        <v>0.6501616727743047</v>
      </c>
    </row>
    <row r="42" spans="3:22" ht="15" thickBot="1">
      <c r="C42" s="219"/>
      <c r="D42" s="219"/>
      <c r="E42" s="219"/>
      <c r="F42" s="219"/>
      <c r="G42" s="219"/>
      <c r="H42" s="219"/>
      <c r="I42" s="219"/>
      <c r="J42" s="219"/>
      <c r="K42" s="219"/>
      <c r="L42" s="219"/>
      <c r="M42" s="219"/>
      <c r="N42" s="219"/>
      <c r="O42" s="219"/>
    </row>
    <row r="44" spans="3:22" ht="21">
      <c r="F44" s="355" t="s">
        <v>724</v>
      </c>
    </row>
    <row r="45" spans="3:22">
      <c r="D45" s="234"/>
      <c r="E45" s="11"/>
      <c r="F45" s="234"/>
      <c r="G45" s="234"/>
      <c r="H45" s="234"/>
      <c r="I45" s="11"/>
      <c r="J45" s="696" t="str">
        <f ca="1">OFFSET(FLU_LU!$D$71,J2,0)&amp;" (CURRENCY SELECTED AT TOP OF SHEET)"</f>
        <v>US Dollars (CURRENCY SELECTED AT TOP OF SHEET)</v>
      </c>
      <c r="K45" s="696"/>
      <c r="L45" s="696"/>
      <c r="M45" s="696"/>
      <c r="N45" s="696"/>
      <c r="O45" s="224"/>
    </row>
    <row r="46" spans="3:22">
      <c r="D46" s="234"/>
      <c r="E46" s="11"/>
      <c r="F46" s="234"/>
      <c r="G46" s="234"/>
      <c r="H46" s="234"/>
      <c r="I46" s="11"/>
      <c r="J46" s="331"/>
      <c r="K46" s="331"/>
      <c r="L46" s="331"/>
      <c r="M46" s="331"/>
      <c r="N46" s="331"/>
      <c r="O46" s="224"/>
    </row>
    <row r="47" spans="3:22">
      <c r="D47" s="234"/>
      <c r="E47" s="11"/>
      <c r="F47" s="234"/>
      <c r="G47" s="234"/>
      <c r="H47" s="234"/>
      <c r="I47" s="11"/>
      <c r="J47" s="331" t="s">
        <v>166</v>
      </c>
      <c r="K47" s="331"/>
      <c r="L47" s="331"/>
      <c r="M47" s="331"/>
      <c r="N47" s="331" t="s">
        <v>167</v>
      </c>
      <c r="O47" s="224"/>
      <c r="R47" s="331"/>
      <c r="S47" s="331"/>
      <c r="T47" s="331"/>
      <c r="U47" s="331"/>
      <c r="V47" s="331"/>
    </row>
    <row r="48" spans="3:22">
      <c r="D48" s="234"/>
      <c r="E48" s="11"/>
      <c r="F48" s="234"/>
      <c r="G48" s="234"/>
      <c r="H48" s="234"/>
      <c r="I48" s="11"/>
      <c r="J48" s="228"/>
      <c r="K48" s="228"/>
      <c r="L48" s="228"/>
      <c r="M48" s="228"/>
      <c r="N48" s="223"/>
      <c r="O48" s="224"/>
    </row>
    <row r="49" spans="3:15" ht="15.6">
      <c r="D49" s="234"/>
      <c r="E49" s="387" t="s">
        <v>852</v>
      </c>
      <c r="F49" s="11"/>
      <c r="G49" s="11"/>
      <c r="H49" s="11"/>
      <c r="I49" s="11"/>
      <c r="J49" s="11"/>
      <c r="K49" s="11"/>
      <c r="L49" s="11"/>
      <c r="M49" s="11"/>
      <c r="N49" s="11"/>
      <c r="O49" s="331"/>
    </row>
    <row r="50" spans="3:15">
      <c r="C50" s="86"/>
      <c r="D50" s="383" t="b">
        <v>1</v>
      </c>
      <c r="E50" s="390"/>
      <c r="F50" s="11" t="str">
        <f>HL_FLU_Preparation_Outputs</f>
        <v>Microplanning</v>
      </c>
      <c r="G50" s="11"/>
      <c r="H50" s="11"/>
      <c r="I50" s="364" t="str">
        <f>IF($J$2=1,FLU_LU!$D$78,FLU_LU!$D$79)</f>
        <v>USD</v>
      </c>
      <c r="J50" s="235">
        <f>IF(J2=1,SUM(MICRO!J44,MICRO!J72,MICRO!J100),(SUM(MICRO!J44,MICRO!J72,MICRO!J100)*FLU_XCHANGE_YR1))</f>
        <v>546.72</v>
      </c>
      <c r="K50" s="388">
        <f t="shared" ref="K50:K58" ca="1" si="0">J50/$J$75</f>
        <v>5.7476083783685192E-3</v>
      </c>
      <c r="L50" s="388"/>
      <c r="M50" s="364" t="str">
        <f>IF($J$2=1,FLU_LU!$D$78,FLU_LU!$D$79)</f>
        <v>USD</v>
      </c>
      <c r="N50" s="235">
        <f>IF($J$2=1,SUM(MICRO!J45,MICRO!J73,MICRO!J101),SUM(MICRO!J45,MICRO!J73,MICRO!J101)*FLU_XCHANGE_YR1)</f>
        <v>1661.8666666666668</v>
      </c>
      <c r="O50" s="388">
        <f ca="1">N50/$N$75</f>
        <v>1.3288174832616073E-2</v>
      </c>
    </row>
    <row r="51" spans="3:15">
      <c r="D51" s="11"/>
      <c r="E51" s="390"/>
      <c r="F51" s="11" t="str">
        <f>HL_FLU_Procurement_Activities_Outputs_and_Source_Distribution</f>
        <v>Procurement</v>
      </c>
      <c r="G51" s="11"/>
      <c r="H51" s="11"/>
      <c r="I51" s="364" t="str">
        <f>IF($J$2=1,FLU_LU!$D$78,FLU_LU!$D$79)</f>
        <v>USD</v>
      </c>
      <c r="J51" s="235">
        <f>IF(J2=1,SUM(PROCUR!J174,PROCUR!J222,PROCUR!J270,PROCUR!J320),(SUM(PROCUR!J174,PROCUR!J222,PROCUR!J270,PROCUR!J320)*FLU_XCHANGE_YR1))</f>
        <v>72386.429999999993</v>
      </c>
      <c r="K51" s="389">
        <f t="shared" ca="1" si="0"/>
        <v>0.76099072934625822</v>
      </c>
      <c r="L51" s="389"/>
      <c r="M51" s="364" t="str">
        <f>IF($J$2=1,FLU_LU!$D$78,FLU_LU!$D$79)</f>
        <v>USD</v>
      </c>
      <c r="N51" s="235">
        <f>IF($J$2=1,SUM(PROCUR!J179,PROCUR!J227,PROCUR!J276,PROCUR!J326),SUM(PROCUR!J179,PROCUR!J227,PROCUR!J276,PROCUR!J326)*FLU_XCHANGE_YR1)</f>
        <v>74055.929999999993</v>
      </c>
      <c r="O51" s="389">
        <f t="shared" ref="O51:O58" ca="1" si="1">N51/$N$75</f>
        <v>0.59214626839215589</v>
      </c>
    </row>
    <row r="52" spans="3:15">
      <c r="D52" s="11"/>
      <c r="E52" s="390"/>
      <c r="F52" s="11" t="str">
        <f>HL_FLU_Distribution</f>
        <v>Distribution</v>
      </c>
      <c r="G52" s="11"/>
      <c r="H52" s="11"/>
      <c r="I52" s="364" t="str">
        <f>IF($J$2=1,FLU_LU!$D$78,FLU_LU!$D$79)</f>
        <v>USD</v>
      </c>
      <c r="J52" s="235">
        <f ca="1">IF(J2=1,SUM(DISTRIB!J46,DISTRIB!J76,DISTRIB!J105),(SUM(DISTRIB!J46,DISTRIB!J76,DISTRIB!J105)*FLU_XCHANGE_YR1))</f>
        <v>1837.3333333333333</v>
      </c>
      <c r="K52" s="388">
        <f t="shared" ca="1" si="0"/>
        <v>1.9315687116846697E-2</v>
      </c>
      <c r="L52" s="388"/>
      <c r="M52" s="364" t="str">
        <f>IF($J$2=1,FLU_LU!$D$78,FLU_LU!$D$79)</f>
        <v>USD</v>
      </c>
      <c r="N52" s="235">
        <f ca="1">IF($J$2=1,SUM(DISTRIB!J47,DISTRIB!J77,DISTRIB!J106),SUM(DISTRIB!J47,DISTRIB!J77,DISTRIB!J106)*FLU_XCHANGE_YR1)</f>
        <v>10266.675848484849</v>
      </c>
      <c r="O52" s="388">
        <f t="shared" ca="1" si="1"/>
        <v>8.2091654138597328E-2</v>
      </c>
    </row>
    <row r="53" spans="3:15">
      <c r="D53" s="11"/>
      <c r="E53" s="390"/>
      <c r="F53" s="11" t="str">
        <f>TRAIN!B12</f>
        <v>Training</v>
      </c>
      <c r="G53" s="11"/>
      <c r="H53" s="11"/>
      <c r="I53" s="364" t="str">
        <f>IF($J$2=1,FLU_LU!$D$78,FLU_LU!$D$79)</f>
        <v>USD</v>
      </c>
      <c r="J53" s="235">
        <f>IF(J2=1,SUM(TRAIN!J43+TRAIN!J70+TRAIN!J97),(SUM(TRAIN!J43+TRAIN!J70+TRAIN!J97)*FLU_XCHANGE_YR1))</f>
        <v>213.40666666666669</v>
      </c>
      <c r="K53" s="388">
        <f t="shared" ca="1" si="0"/>
        <v>2.243521263778591E-3</v>
      </c>
      <c r="L53" s="388"/>
      <c r="M53" s="364" t="str">
        <f>IF($J$2=1,FLU_LU!$D$78,FLU_LU!$D$79)</f>
        <v>USD</v>
      </c>
      <c r="N53" s="235">
        <f>IF($J$2=1,SUM(TRAIN!J44+TRAIN!J71+TRAIN!J98),SUM(TRAIN!J44+TRAIN!J71+TRAIN!J98)*FLU_XCHANGE_YR1)</f>
        <v>370.74666666666667</v>
      </c>
      <c r="O53" s="388">
        <f t="shared" ca="1" si="1"/>
        <v>2.9644655760247313E-3</v>
      </c>
    </row>
    <row r="54" spans="3:15">
      <c r="D54" s="11"/>
      <c r="E54" s="390"/>
      <c r="F54" s="11" t="str">
        <f>IEC!B12</f>
        <v>Social Mobilisation / IEC</v>
      </c>
      <c r="G54" s="11"/>
      <c r="H54" s="11"/>
      <c r="I54" s="364" t="str">
        <f>IF($J$2=1,FLU_LU!$D$78,FLU_LU!$D$79)</f>
        <v>USD</v>
      </c>
      <c r="J54" s="235">
        <f>IF(J2=1,SUM(IEC!J43,IEC!J70,IEC!J97),(SUM(IEC!J43,IEC!J70,IEC!J97)*Financial!I16))</f>
        <v>346.74</v>
      </c>
      <c r="K54" s="388">
        <f t="shared" ca="1" si="0"/>
        <v>3.6452402127515006E-3</v>
      </c>
      <c r="L54" s="388"/>
      <c r="M54" s="364" t="str">
        <f>IF($J$2=1,FLU_LU!$D$78,FLU_LU!$D$79)</f>
        <v>USD</v>
      </c>
      <c r="N54" s="235">
        <f>IF($J$2=1,SUM(IEC!J44,IEC!J71,IEC!J98),SUM(IEC!J44,IEC!J71,IEC!J98)*FLU_XCHANGE_YR1)</f>
        <v>637.41333333333341</v>
      </c>
      <c r="O54" s="388">
        <f t="shared" ca="1" si="1"/>
        <v>5.0967144259310331E-3</v>
      </c>
    </row>
    <row r="55" spans="3:15">
      <c r="D55" s="11"/>
      <c r="E55" s="390"/>
      <c r="F55" s="11" t="str">
        <f>SD_IMM!B12</f>
        <v>Immunization Activities</v>
      </c>
      <c r="G55" s="11"/>
      <c r="H55" s="11"/>
      <c r="I55" s="364" t="str">
        <f>IF($J$2=1,FLU_LU!$D$78,FLU_LU!$D$79)</f>
        <v>USD</v>
      </c>
      <c r="J55" s="235">
        <f>IF(J2=1,SUM(SD_IMM!J88,SD_IMM!J159,SD_IMM!J227,SD_IMM!J293,SD_IMM!J358,SD_IMM!J425),(SUM(SD_IMM!J88,SD_IMM!J159,SD_IMM!J227,SD_IMM!J296,SD_IMM!J361,SD_IMM!J428)*FLU_XCHANGE_YR1))</f>
        <v>0</v>
      </c>
      <c r="K55" s="388">
        <f t="shared" ca="1" si="0"/>
        <v>0</v>
      </c>
      <c r="L55" s="388"/>
      <c r="M55" s="364" t="str">
        <f>IF($J$2=1,FLU_LU!$D$78,FLU_LU!$D$79)</f>
        <v>USD</v>
      </c>
      <c r="N55" s="235">
        <f>IF($J$2=1,SUM(SD_IMM!J89,SD_IMM!J160,SD_IMM!J228,SD_IMM!J294,SD_IMM!J359,SD_IMM!J426),SUM(SD_IMM!J89,SD_IMM!J160,SD_IMM!J228,SD_IMM!J294,SD_IMM!J359,SD_IMM!J426)*FLU_XCHANGE_YR1)</f>
        <v>11523.56</v>
      </c>
      <c r="O55" s="388">
        <f t="shared" ca="1" si="1"/>
        <v>9.2141615838098476E-2</v>
      </c>
    </row>
    <row r="56" spans="3:15">
      <c r="D56" s="11"/>
      <c r="E56" s="390"/>
      <c r="F56" s="11" t="str">
        <f>SUPV!B12</f>
        <v>Supervision and Monitoring Activities</v>
      </c>
      <c r="G56" s="11"/>
      <c r="H56" s="11"/>
      <c r="I56" s="364" t="str">
        <f>IF($J$2=1,FLU_LU!$D$78,FLU_LU!$D$79)</f>
        <v>USD</v>
      </c>
      <c r="J56" s="235">
        <f>IF(J2=1,SUM(SUPV!J43,SUPV!J70,SUPV!J97),(SUM(SUPV!J43,SUPV!J70,SUPV!J97)*FLU_XCHANGE_YR1))</f>
        <v>10280.073333333334</v>
      </c>
      <c r="K56" s="388">
        <f t="shared" ca="1" si="0"/>
        <v>0.10807330191123328</v>
      </c>
      <c r="L56" s="388"/>
      <c r="M56" s="364" t="str">
        <f>IF($J$2=1,FLU_LU!$D$78,FLU_LU!$D$79)</f>
        <v>USD</v>
      </c>
      <c r="N56" s="235">
        <f>IF($J$2=1,SUM(SUPV!J44,SUPV!J71,SUPV!J98),SUM(SUPV!J44,SUPV!J71,SUPV!J98)*FLU_XCHANGE_YR1)</f>
        <v>15537.413333333332</v>
      </c>
      <c r="O56" s="388">
        <f t="shared" ca="1" si="1"/>
        <v>0.12423611891444562</v>
      </c>
    </row>
    <row r="57" spans="3:15">
      <c r="D57" s="11"/>
      <c r="E57" s="390"/>
      <c r="F57" s="11" t="str">
        <f>Other!B12</f>
        <v>Other Activities</v>
      </c>
      <c r="G57" s="11"/>
      <c r="H57" s="11"/>
      <c r="I57" s="364" t="str">
        <f>IF($J$2=1,FLU_LU!$D$78,FLU_LU!$D$79)</f>
        <v>USD</v>
      </c>
      <c r="J57" s="235">
        <f>IF($J$2=1,SUM(Other!J49,Other!J76,Other!J103),(SUM(Other!J49,Other!J76,Other!J103)*FLU_XCHANGE_YR1))</f>
        <v>0</v>
      </c>
      <c r="K57" s="388">
        <f t="shared" ca="1" si="0"/>
        <v>0</v>
      </c>
      <c r="L57" s="388"/>
      <c r="M57" s="364" t="str">
        <f>IF($J$2=1,FLU_LU!$D$78,FLU_LU!$D$79)</f>
        <v>USD</v>
      </c>
      <c r="N57" s="235">
        <f>IF($J$2=1,SUM(Other!J50,Other!J77,Other!J104),SUM(Other!J50,Other!J77,Other!J104)*FLU_XCHANGE_YR1)</f>
        <v>0</v>
      </c>
      <c r="O57" s="388">
        <f t="shared" ca="1" si="1"/>
        <v>0</v>
      </c>
    </row>
    <row r="58" spans="3:15" ht="16.2" thickBot="1">
      <c r="D58" s="11"/>
      <c r="E58" s="11"/>
      <c r="F58" s="387" t="s">
        <v>726</v>
      </c>
      <c r="G58" s="234"/>
      <c r="H58" s="234"/>
      <c r="I58" s="378" t="str">
        <f>IF($J$2=1,FLU_LU!$D$78,FLU_LU!$D$79)</f>
        <v>USD</v>
      </c>
      <c r="J58" s="238">
        <f ca="1">SUM(J50:J57)</f>
        <v>85610.703333333324</v>
      </c>
      <c r="K58" s="384">
        <f t="shared" ca="1" si="0"/>
        <v>0.90001608822923673</v>
      </c>
      <c r="L58" s="384"/>
      <c r="M58" s="378" t="str">
        <f>IF($J$2=1,FLU_LU!$D$78,FLU_LU!$D$79)</f>
        <v>USD</v>
      </c>
      <c r="N58" s="238">
        <f ca="1">SUM(N50:N57)</f>
        <v>114053.60584848485</v>
      </c>
      <c r="O58" s="384">
        <f t="shared" ca="1" si="1"/>
        <v>0.91196501211786918</v>
      </c>
    </row>
    <row r="59" spans="3:15">
      <c r="D59" s="11"/>
      <c r="E59" s="11"/>
      <c r="F59" s="11"/>
      <c r="G59" s="11"/>
      <c r="H59" s="11"/>
      <c r="I59" s="11"/>
      <c r="J59" s="11"/>
      <c r="K59" s="381"/>
      <c r="L59" s="381"/>
      <c r="M59" s="11"/>
      <c r="N59" s="11"/>
      <c r="O59" s="381"/>
    </row>
    <row r="60" spans="3:15" ht="15.6">
      <c r="D60" s="11"/>
      <c r="E60" s="387" t="s">
        <v>794</v>
      </c>
      <c r="F60" s="11"/>
      <c r="G60" s="11"/>
      <c r="H60" s="11"/>
      <c r="I60" s="11"/>
      <c r="J60" s="11"/>
      <c r="K60" s="381"/>
      <c r="L60" s="381"/>
      <c r="M60" s="11"/>
      <c r="N60" s="11"/>
      <c r="O60" s="381"/>
    </row>
    <row r="61" spans="3:15">
      <c r="D61" s="11"/>
      <c r="E61" s="234"/>
      <c r="F61" s="234" t="s">
        <v>761</v>
      </c>
      <c r="G61" s="11"/>
      <c r="H61" s="11"/>
      <c r="I61" s="11"/>
      <c r="J61" s="11"/>
      <c r="K61" s="381"/>
      <c r="L61" s="381"/>
      <c r="M61" s="11"/>
      <c r="N61" s="11"/>
      <c r="O61" s="381"/>
    </row>
    <row r="62" spans="3:15">
      <c r="D62" s="11"/>
      <c r="E62" s="390"/>
      <c r="F62" s="11" t="str">
        <f>COLD!F25</f>
        <v>Republic Level Cold Storage Expansion</v>
      </c>
      <c r="I62" s="364" t="str">
        <f>IF($J$2=1,FLU_LU!$D$78,FLU_LU!$D$79)</f>
        <v>USD</v>
      </c>
      <c r="J62" s="365">
        <f ca="1">IF($J$2=1,COLD!J122,COLD!J125)</f>
        <v>119.6</v>
      </c>
      <c r="K62" s="388">
        <f t="shared" ref="K62:K65" ca="1" si="2">J62/$J$75</f>
        <v>1.2573418972286999E-3</v>
      </c>
      <c r="L62" s="388"/>
      <c r="M62" s="364" t="str">
        <f>IF($J$2=1,FLU_LU!$D$78,FLU_LU!$D$79)</f>
        <v>USD</v>
      </c>
      <c r="N62" s="365">
        <f ca="1">IF($J$2=1,COLD!J123,COLD!J126)</f>
        <v>140.20768589977089</v>
      </c>
      <c r="O62" s="388">
        <f t="shared" ref="O62:O65" ca="1" si="3">N62/$N$75</f>
        <v>1.1210912887792892E-3</v>
      </c>
    </row>
    <row r="63" spans="3:15">
      <c r="D63" s="11"/>
      <c r="E63" s="390"/>
      <c r="F63" s="11" t="str">
        <f>COLD!F26</f>
        <v>County Level Cold Storage Expansion</v>
      </c>
      <c r="I63" s="364" t="str">
        <f>IF($J$2=1,FLU_LU!$D$78,FLU_LU!$D$79)</f>
        <v>USD</v>
      </c>
      <c r="J63" s="365">
        <f ca="1">IF($J$2=1,COLD!J222,COLD!J225)</f>
        <v>612</v>
      </c>
      <c r="K63" s="388">
        <f t="shared" ca="1" si="2"/>
        <v>6.4338899757856562E-3</v>
      </c>
      <c r="L63" s="388"/>
      <c r="M63" s="364" t="str">
        <f>IF($J$2=1,FLU_LU!$D$78,FLU_LU!$D$79)</f>
        <v>USD</v>
      </c>
      <c r="N63" s="365">
        <f ca="1">IF($J$2=1,COLD!J223,COLD!J226)</f>
        <v>717.45070042357679</v>
      </c>
      <c r="O63" s="388">
        <f t="shared" ca="1" si="3"/>
        <v>5.7366878656599082E-3</v>
      </c>
    </row>
    <row r="64" spans="3:15">
      <c r="D64" s="11"/>
      <c r="E64" s="390"/>
      <c r="F64" s="11" t="str">
        <f>COLD!F27</f>
        <v>Health Facility Cold Storage Expansion</v>
      </c>
      <c r="I64" s="364" t="str">
        <f>IF($J$2=1,FLU_LU!$D$78,FLU_LU!$D$79)</f>
        <v>USD</v>
      </c>
      <c r="J64" s="365">
        <f ca="1">IF($J$2=1,COLD!J322,COLD!J325)</f>
        <v>5376</v>
      </c>
      <c r="K64" s="388">
        <f t="shared" ca="1" si="2"/>
        <v>5.6517308022587719E-2</v>
      </c>
      <c r="L64" s="388"/>
      <c r="M64" s="364" t="str">
        <f>IF($J$2=1,FLU_LU!$D$78,FLU_LU!$D$79)</f>
        <v>USD</v>
      </c>
      <c r="N64" s="365">
        <f ca="1">IF($J$2=1,COLD!J323,COLD!J326)</f>
        <v>6302.3120350933805</v>
      </c>
      <c r="O64" s="388">
        <f t="shared" ca="1" si="3"/>
        <v>5.0392865957169387E-2</v>
      </c>
    </row>
    <row r="65" spans="4:18">
      <c r="D65" s="11"/>
      <c r="E65" s="11"/>
      <c r="F65" s="234" t="s">
        <v>763</v>
      </c>
      <c r="I65" s="378" t="str">
        <f>IF($J$2=1,FLU_LU!$D$78,FLU_LU!$D$79)</f>
        <v>USD</v>
      </c>
      <c r="J65" s="360">
        <f ca="1">SUM(J62:J64)</f>
        <v>6107.6</v>
      </c>
      <c r="K65" s="386">
        <f t="shared" ca="1" si="2"/>
        <v>6.4208539895602088E-2</v>
      </c>
      <c r="L65" s="386"/>
      <c r="M65" s="378" t="str">
        <f>IF($J$2=1,FLU_LU!$D$78,FLU_LU!$D$79)</f>
        <v>USD</v>
      </c>
      <c r="N65" s="360">
        <f ca="1">SUM(N62:N64)</f>
        <v>7159.9704214167286</v>
      </c>
      <c r="O65" s="386">
        <f t="shared" ca="1" si="3"/>
        <v>5.7250645111608586E-2</v>
      </c>
    </row>
    <row r="66" spans="4:18">
      <c r="D66" s="11"/>
      <c r="E66" s="11"/>
      <c r="F66" s="11"/>
      <c r="I66" s="364"/>
      <c r="J66" s="365"/>
      <c r="K66" s="381"/>
      <c r="L66" s="381"/>
      <c r="M66" s="364"/>
      <c r="N66" s="365"/>
      <c r="O66" s="381"/>
    </row>
    <row r="67" spans="4:18">
      <c r="D67" s="11"/>
      <c r="E67" s="11"/>
      <c r="F67" s="234" t="s">
        <v>762</v>
      </c>
      <c r="I67" s="364"/>
      <c r="J67" s="365"/>
      <c r="K67" s="381"/>
      <c r="L67" s="381"/>
      <c r="M67" s="364"/>
      <c r="N67" s="365"/>
      <c r="O67" s="381"/>
    </row>
    <row r="68" spans="4:18">
      <c r="D68" s="11"/>
      <c r="E68" s="390"/>
      <c r="F68" s="11" t="str">
        <f>Other!F22</f>
        <v>Vehicle Acquisition</v>
      </c>
      <c r="I68" s="364" t="str">
        <f>IF($J$2=1,FLU_LU!$D$78,FLU_LU!$D$79)</f>
        <v>USD</v>
      </c>
      <c r="J68" s="365">
        <f>IF($J$2=1,Other!J138,Other!J141)</f>
        <v>2813</v>
      </c>
      <c r="K68" s="388">
        <f t="shared" ref="K68:K75" ca="1" si="4">J68/$J$75</f>
        <v>2.9572765525955964E-2</v>
      </c>
      <c r="L68" s="388"/>
      <c r="M68" s="364" t="str">
        <f>IF($J$2=1,FLU_LU!$D$78,FLU_LU!$D$79)</f>
        <v>USD</v>
      </c>
      <c r="N68" s="365">
        <f>IF($J$2=1,Other!J139,Other!J142)</f>
        <v>2900</v>
      </c>
      <c r="O68" s="388">
        <f t="shared" ref="O68:O71" ca="1" si="5">N68/$N$75</f>
        <v>2.3188206242731029E-2</v>
      </c>
    </row>
    <row r="69" spans="4:18">
      <c r="D69" s="11"/>
      <c r="E69" s="390"/>
      <c r="F69" s="11" t="str">
        <f>Other!F23</f>
        <v>Other Equipment (not Cold Chain) Acquisition</v>
      </c>
      <c r="I69" s="364" t="str">
        <f>IF($J$2=1,FLU_LU!$D$78,FLU_LU!$D$79)</f>
        <v>USD</v>
      </c>
      <c r="J69" s="365">
        <f>IF($J$2=1,Other!J175,Other!J178)</f>
        <v>240</v>
      </c>
      <c r="K69" s="388">
        <f t="shared" ca="1" si="4"/>
        <v>2.5230941081512376E-3</v>
      </c>
      <c r="L69" s="388"/>
      <c r="M69" s="364" t="str">
        <f>IF($J$2=1,FLU_LU!$D$78,FLU_LU!$D$79)</f>
        <v>USD</v>
      </c>
      <c r="N69" s="365">
        <f>IF($J$2=1,Other!J176,Other!J179)</f>
        <v>300</v>
      </c>
      <c r="O69" s="388">
        <f t="shared" ca="1" si="5"/>
        <v>2.3987799561445895E-3</v>
      </c>
    </row>
    <row r="70" spans="4:18">
      <c r="D70" s="11"/>
      <c r="E70" s="390"/>
      <c r="F70" s="11" t="str">
        <f>Other!F24</f>
        <v>Other Capital Costs not elsewhere included</v>
      </c>
      <c r="I70" s="364" t="str">
        <f>IF($J$2=1,FLU_LU!$D$78,FLU_LU!$D$79)</f>
        <v>USD</v>
      </c>
      <c r="J70" s="365">
        <f>IF($J$2=1,Other!J212,Other!J215)</f>
        <v>350</v>
      </c>
      <c r="K70" s="388">
        <f t="shared" ca="1" si="4"/>
        <v>3.679512241053888E-3</v>
      </c>
      <c r="L70" s="388"/>
      <c r="M70" s="364" t="str">
        <f>IF($J$2=1,FLU_LU!$D$78,FLU_LU!$D$79)</f>
        <v>USD</v>
      </c>
      <c r="N70" s="365">
        <f>IF($J$2=1,Other!J213,Other!J216)</f>
        <v>650</v>
      </c>
      <c r="O70" s="388">
        <f t="shared" ca="1" si="5"/>
        <v>5.1973565716466105E-3</v>
      </c>
    </row>
    <row r="71" spans="4:18">
      <c r="D71" s="11"/>
      <c r="E71" s="11"/>
      <c r="F71" s="234" t="s">
        <v>764</v>
      </c>
      <c r="I71" s="378" t="str">
        <f>IF($J$2=1,FLU_LU!$D$78,FLU_LU!$D$79)</f>
        <v>USD</v>
      </c>
      <c r="J71" s="360">
        <f>SUM(J68:J70)</f>
        <v>3403</v>
      </c>
      <c r="K71" s="386">
        <f t="shared" ca="1" si="4"/>
        <v>3.577537187516109E-2</v>
      </c>
      <c r="L71" s="386"/>
      <c r="M71" s="378" t="str">
        <f>IF($J$2=1,FLU_LU!$D$78,FLU_LU!$D$79)</f>
        <v>USD</v>
      </c>
      <c r="N71" s="360">
        <f>SUM(N68:N70)</f>
        <v>3850</v>
      </c>
      <c r="O71" s="386">
        <f t="shared" ca="1" si="5"/>
        <v>3.0784342770522229E-2</v>
      </c>
    </row>
    <row r="72" spans="4:18">
      <c r="D72" s="11"/>
      <c r="E72" s="11"/>
      <c r="F72" s="11"/>
      <c r="I72" s="364"/>
      <c r="J72" s="365"/>
      <c r="K72" s="381"/>
      <c r="L72" s="381"/>
      <c r="M72" s="364"/>
      <c r="N72" s="365"/>
      <c r="O72" s="381"/>
      <c r="R72" s="385"/>
    </row>
    <row r="73" spans="4:18" ht="16.2" thickBot="1">
      <c r="D73" s="11"/>
      <c r="E73" s="11"/>
      <c r="F73" s="387" t="s">
        <v>727</v>
      </c>
      <c r="G73" s="11"/>
      <c r="H73" s="11"/>
      <c r="I73" s="378" t="str">
        <f>IF($J$2=1,FLU_LU!$D$78,FLU_LU!$D$79)</f>
        <v>USD</v>
      </c>
      <c r="J73" s="238">
        <f ca="1">SUM(J65,J71)</f>
        <v>9510.6</v>
      </c>
      <c r="K73" s="384">
        <f t="shared" ca="1" si="4"/>
        <v>9.998391177076317E-2</v>
      </c>
      <c r="L73" s="384"/>
      <c r="M73" s="378" t="str">
        <f>IF($J$2=1,FLU_LU!$D$78,FLU_LU!$D$79)</f>
        <v>USD</v>
      </c>
      <c r="N73" s="238">
        <f ca="1">SUM(N65,N71)</f>
        <v>11009.970421416729</v>
      </c>
      <c r="O73" s="384">
        <f t="shared" ref="O73" ca="1" si="6">N73/$N$75</f>
        <v>8.8034987882130822E-2</v>
      </c>
    </row>
    <row r="74" spans="4:18">
      <c r="K74" s="382"/>
      <c r="L74" s="382"/>
      <c r="O74" s="382"/>
    </row>
    <row r="75" spans="4:18" ht="16.2" thickBot="1">
      <c r="E75" s="390"/>
      <c r="F75" s="534" t="s">
        <v>765</v>
      </c>
      <c r="G75" s="535"/>
      <c r="H75" s="535"/>
      <c r="I75" s="378" t="str">
        <f>IF($J$2=1,FLU_LU!$D$78,FLU_LU!$D$79)</f>
        <v>USD</v>
      </c>
      <c r="J75" s="363">
        <f ca="1">SUM(J58,J73)</f>
        <v>95121.30333333333</v>
      </c>
      <c r="K75" s="536">
        <f t="shared" ca="1" si="4"/>
        <v>1</v>
      </c>
      <c r="L75" s="536"/>
      <c r="M75" s="378" t="str">
        <f>IF($J$2=1,FLU_LU!$D$78,FLU_LU!$D$79)</f>
        <v>USD</v>
      </c>
      <c r="N75" s="363">
        <f ca="1">SUM(N58,N73)</f>
        <v>125063.57626990158</v>
      </c>
      <c r="O75" s="536">
        <f t="shared" ref="O75" ca="1" si="7">N75/$N$75</f>
        <v>1</v>
      </c>
    </row>
    <row r="76" spans="4:18" ht="15" thickTop="1">
      <c r="J76" s="519"/>
      <c r="K76" s="11"/>
      <c r="L76" s="11"/>
      <c r="M76" s="11"/>
      <c r="N76" s="519"/>
    </row>
    <row r="77" spans="4:18">
      <c r="J77" s="518"/>
      <c r="N77" s="518"/>
    </row>
    <row r="89" spans="14:14">
      <c r="N89" s="222"/>
    </row>
    <row r="90" spans="14:14">
      <c r="N90" s="222"/>
    </row>
    <row r="91" spans="14:14">
      <c r="N91" s="222"/>
    </row>
    <row r="92" spans="14:14">
      <c r="N92" s="222"/>
    </row>
    <row r="93" spans="14:14">
      <c r="N93" s="222"/>
    </row>
  </sheetData>
  <mergeCells count="8">
    <mergeCell ref="J7:N7"/>
    <mergeCell ref="J45:N45"/>
    <mergeCell ref="B3:G3"/>
    <mergeCell ref="K4:N4"/>
    <mergeCell ref="B4:C4"/>
    <mergeCell ref="D4:E4"/>
    <mergeCell ref="F4:G4"/>
    <mergeCell ref="H4:J4"/>
  </mergeCells>
  <conditionalFormatting sqref="E50:E57">
    <cfRule type="iconSet" priority="9">
      <iconSet iconSet="4RedToBlack">
        <cfvo type="percent" val="0"/>
        <cfvo type="formula" val="$J$75*0.25"/>
        <cfvo type="formula" val="$J$75*0.5"/>
        <cfvo type="formula" val="$J$75*0.75"/>
      </iconSet>
    </cfRule>
    <cfRule type="iconSet" priority="7">
      <iconSet iconSet="4RedToBlack">
        <cfvo type="percent" val="0"/>
        <cfvo type="percent" val="25"/>
        <cfvo type="percent" val="50"/>
        <cfvo type="percent" val="75"/>
      </iconSet>
    </cfRule>
    <cfRule type="iconSet" priority="8">
      <iconSet iconSet="4RedToBlack">
        <cfvo type="percent" val="0"/>
        <cfvo type="percent" val="25"/>
        <cfvo type="percent" val="50"/>
        <cfvo type="percent" val="75"/>
      </iconSet>
    </cfRule>
  </conditionalFormatting>
  <conditionalFormatting sqref="E58:E59 E65:E67 E61">
    <cfRule type="iconSet" priority="27">
      <iconSet iconSet="4RedToBlack">
        <cfvo type="percent" val="0"/>
        <cfvo type="formula" val="$J$75*0.25"/>
        <cfvo type="formula" val="$J$75*0.5"/>
        <cfvo type="formula" val="$J$75*0.75"/>
      </iconSet>
    </cfRule>
  </conditionalFormatting>
  <conditionalFormatting sqref="E62:E63">
    <cfRule type="iconSet" priority="10">
      <iconSet iconSet="4RedToBlack">
        <cfvo type="percent" val="0"/>
        <cfvo type="percent" val="25"/>
        <cfvo type="percent" val="50"/>
        <cfvo type="percent" val="75"/>
      </iconSet>
    </cfRule>
    <cfRule type="iconSet" priority="11">
      <iconSet iconSet="4RedToBlack">
        <cfvo type="percent" val="0"/>
        <cfvo type="percent" val="25"/>
        <cfvo type="percent" val="50"/>
        <cfvo type="percent" val="75"/>
      </iconSet>
    </cfRule>
    <cfRule type="iconSet" priority="12">
      <iconSet iconSet="4RedToBlack">
        <cfvo type="percent" val="0"/>
        <cfvo type="formula" val="$J$75*0.25"/>
        <cfvo type="formula" val="$J$75*0.5"/>
        <cfvo type="formula" val="$J$75*0.75"/>
      </iconSet>
    </cfRule>
  </conditionalFormatting>
  <conditionalFormatting sqref="E64">
    <cfRule type="iconSet" priority="2">
      <iconSet iconSet="4RedToBlack">
        <cfvo type="percent" val="0"/>
        <cfvo type="percent" val="25"/>
        <cfvo type="percent" val="50"/>
        <cfvo type="percent" val="75"/>
      </iconSet>
    </cfRule>
    <cfRule type="iconSet" priority="3">
      <iconSet iconSet="4RedToBlack">
        <cfvo type="percent" val="0"/>
        <cfvo type="formula" val="$J$75*0.25"/>
        <cfvo type="formula" val="$J$75*0.5"/>
        <cfvo type="formula" val="$J$75*0.75"/>
      </iconSet>
    </cfRule>
    <cfRule type="iconSet" priority="1">
      <iconSet iconSet="4RedToBlack">
        <cfvo type="percent" val="0"/>
        <cfvo type="percent" val="25"/>
        <cfvo type="percent" val="50"/>
        <cfvo type="percent" val="75"/>
      </iconSet>
    </cfRule>
  </conditionalFormatting>
  <conditionalFormatting sqref="E68:E70">
    <cfRule type="iconSet" priority="13">
      <iconSet iconSet="4RedToBlack">
        <cfvo type="percent" val="0"/>
        <cfvo type="percent" val="25"/>
        <cfvo type="percent" val="50"/>
        <cfvo type="percent" val="75"/>
      </iconSet>
    </cfRule>
    <cfRule type="iconSet" priority="14">
      <iconSet iconSet="4RedToBlack">
        <cfvo type="percent" val="0"/>
        <cfvo type="percent" val="25"/>
        <cfvo type="percent" val="50"/>
        <cfvo type="percent" val="75"/>
      </iconSet>
    </cfRule>
    <cfRule type="iconSet" priority="15">
      <iconSet iconSet="4RedToBlack">
        <cfvo type="percent" val="0"/>
        <cfvo type="formula" val="$J$75*0.25"/>
        <cfvo type="formula" val="$J$75*0.5"/>
        <cfvo type="formula" val="$J$75*0.75"/>
      </iconSet>
    </cfRule>
  </conditionalFormatting>
  <conditionalFormatting sqref="E75">
    <cfRule type="iconSet" priority="16">
      <iconSet iconSet="4RedToBlack">
        <cfvo type="percent" val="0"/>
        <cfvo type="percent" val="25"/>
        <cfvo type="percent" val="50"/>
        <cfvo type="percent" val="75"/>
      </iconSet>
    </cfRule>
    <cfRule type="iconSet" priority="17">
      <iconSet iconSet="4RedToBlack">
        <cfvo type="percent" val="0"/>
        <cfvo type="percent" val="25"/>
        <cfvo type="percent" val="50"/>
        <cfvo type="percent" val="75"/>
      </iconSet>
    </cfRule>
    <cfRule type="iconSet" priority="18">
      <iconSet iconSet="4RedToBlack">
        <cfvo type="percent" val="0"/>
        <cfvo type="formula" val="$J$75*0.25"/>
        <cfvo type="formula" val="$J$75*0.5"/>
        <cfvo type="formula" val="$J$75*0.75"/>
      </iconSet>
    </cfRule>
  </conditionalFormatting>
  <conditionalFormatting sqref="K50:L50">
    <cfRule type="dataBar" priority="124">
      <dataBar>
        <cfvo type="percent" val="0"/>
        <cfvo type="percent" val="100"/>
        <color rgb="FF7030A0"/>
      </dataBar>
      <extLst>
        <ext xmlns:x14="http://schemas.microsoft.com/office/spreadsheetml/2009/9/main" uri="{B025F937-C7B1-47D3-B67F-A62EFF666E3E}">
          <x14:id>{3B231583-CD6B-438B-BB70-89786251EE8E}</x14:id>
        </ext>
      </extLst>
    </cfRule>
    <cfRule type="dataBar" priority="123">
      <dataBar>
        <cfvo type="percent" val="0"/>
        <cfvo type="percent" val="100"/>
        <color rgb="FF7030A0"/>
      </dataBar>
      <extLst>
        <ext xmlns:x14="http://schemas.microsoft.com/office/spreadsheetml/2009/9/main" uri="{B025F937-C7B1-47D3-B67F-A62EFF666E3E}">
          <x14:id>{F6A0A175-712B-4400-B943-56C862BBEEFC}</x14:id>
        </ext>
      </extLst>
    </cfRule>
  </conditionalFormatting>
  <conditionalFormatting sqref="K50:L57 K74:L74 K72:L72 K59:L64 K66:L70">
    <cfRule type="dataBar" priority="106">
      <dataBar>
        <cfvo type="percent" val="0"/>
        <cfvo type="percent" val="100"/>
        <color rgb="FF7030A0"/>
      </dataBar>
      <extLst>
        <ext xmlns:x14="http://schemas.microsoft.com/office/spreadsheetml/2009/9/main" uri="{B025F937-C7B1-47D3-B67F-A62EFF666E3E}">
          <x14:id>{1FB56C7F-05A4-4A48-B9BF-A1638ECBABB6}</x14:id>
        </ext>
      </extLst>
    </cfRule>
  </conditionalFormatting>
  <conditionalFormatting sqref="K50:L57">
    <cfRule type="dataBar" priority="46">
      <dataBar showValue="0">
        <cfvo type="num" val="0"/>
        <cfvo type="num" val="1"/>
        <color rgb="FF7030A0"/>
      </dataBar>
      <extLst>
        <ext xmlns:x14="http://schemas.microsoft.com/office/spreadsheetml/2009/9/main" uri="{B025F937-C7B1-47D3-B67F-A62EFF666E3E}">
          <x14:id>{E9BC37C5-E94F-49BE-A7DC-A1E85919900D}</x14:id>
        </ext>
      </extLst>
    </cfRule>
  </conditionalFormatting>
  <conditionalFormatting sqref="K62:L63">
    <cfRule type="dataBar" priority="118">
      <dataBar>
        <cfvo type="percent" val="0"/>
        <cfvo type="percent" val="100"/>
        <color rgb="FF7030A0"/>
      </dataBar>
      <extLst>
        <ext xmlns:x14="http://schemas.microsoft.com/office/spreadsheetml/2009/9/main" uri="{B025F937-C7B1-47D3-B67F-A62EFF666E3E}">
          <x14:id>{EF4C1192-9244-4436-AF9C-CAE2CC3C89A1}</x14:id>
        </ext>
      </extLst>
    </cfRule>
    <cfRule type="dataBar" priority="117">
      <dataBar>
        <cfvo type="percent" val="0"/>
        <cfvo type="percent" val="100"/>
        <color rgb="FF7030A0"/>
      </dataBar>
      <extLst>
        <ext xmlns:x14="http://schemas.microsoft.com/office/spreadsheetml/2009/9/main" uri="{B025F937-C7B1-47D3-B67F-A62EFF666E3E}">
          <x14:id>{06FE82DB-FB6F-4D14-A1D7-A38BD1EFBFE4}</x14:id>
        </ext>
      </extLst>
    </cfRule>
  </conditionalFormatting>
  <conditionalFormatting sqref="K62:L64">
    <cfRule type="dataBar" priority="41">
      <dataBar showValue="0">
        <cfvo type="num" val="0"/>
        <cfvo type="num" val="1"/>
        <color rgb="FF7030A0"/>
      </dataBar>
      <extLst>
        <ext xmlns:x14="http://schemas.microsoft.com/office/spreadsheetml/2009/9/main" uri="{B025F937-C7B1-47D3-B67F-A62EFF666E3E}">
          <x14:id>{81884507-D7DE-435E-A946-A599C4B950BA}</x14:id>
        </ext>
      </extLst>
    </cfRule>
  </conditionalFormatting>
  <conditionalFormatting sqref="K64:L64">
    <cfRule type="dataBar" priority="116">
      <dataBar>
        <cfvo type="percent" val="0"/>
        <cfvo type="percent" val="100"/>
        <color rgb="FF7030A0"/>
      </dataBar>
      <extLst>
        <ext xmlns:x14="http://schemas.microsoft.com/office/spreadsheetml/2009/9/main" uri="{B025F937-C7B1-47D3-B67F-A62EFF666E3E}">
          <x14:id>{6A78292E-B81A-4A0E-9419-1066FA2DF5EB}</x14:id>
        </ext>
      </extLst>
    </cfRule>
    <cfRule type="dataBar" priority="115">
      <dataBar>
        <cfvo type="percent" val="0"/>
        <cfvo type="percent" val="100"/>
        <color rgb="FF7030A0"/>
      </dataBar>
      <extLst>
        <ext xmlns:x14="http://schemas.microsoft.com/office/spreadsheetml/2009/9/main" uri="{B025F937-C7B1-47D3-B67F-A62EFF666E3E}">
          <x14:id>{B68D7732-38D3-42B8-8468-E3F2D352D255}</x14:id>
        </ext>
      </extLst>
    </cfRule>
  </conditionalFormatting>
  <conditionalFormatting sqref="K68:L70">
    <cfRule type="dataBar" priority="111">
      <dataBar>
        <cfvo type="percent" val="0"/>
        <cfvo type="percent" val="100"/>
        <color rgb="FF7030A0"/>
      </dataBar>
      <extLst>
        <ext xmlns:x14="http://schemas.microsoft.com/office/spreadsheetml/2009/9/main" uri="{B025F937-C7B1-47D3-B67F-A62EFF666E3E}">
          <x14:id>{887A9959-0CF9-4070-BB36-84D1AFA4A7A4}</x14:id>
        </ext>
      </extLst>
    </cfRule>
    <cfRule type="dataBar" priority="112">
      <dataBar>
        <cfvo type="percent" val="0"/>
        <cfvo type="percent" val="100"/>
        <color rgb="FF7030A0"/>
      </dataBar>
      <extLst>
        <ext xmlns:x14="http://schemas.microsoft.com/office/spreadsheetml/2009/9/main" uri="{B025F937-C7B1-47D3-B67F-A62EFF666E3E}">
          <x14:id>{27DC1F12-3CDE-4CE7-8FB7-669280E339E5}</x14:id>
        </ext>
      </extLst>
    </cfRule>
    <cfRule type="dataBar" priority="40">
      <dataBar showValue="0">
        <cfvo type="num" val="0"/>
        <cfvo type="num" val="1"/>
        <color rgb="FF7030A0"/>
      </dataBar>
      <extLst>
        <ext xmlns:x14="http://schemas.microsoft.com/office/spreadsheetml/2009/9/main" uri="{B025F937-C7B1-47D3-B67F-A62EFF666E3E}">
          <x14:id>{55C2D623-6D4A-43A3-BAAF-5C617F3ADF03}</x14:id>
        </ext>
      </extLst>
    </cfRule>
  </conditionalFormatting>
  <conditionalFormatting sqref="O21">
    <cfRule type="dataBar" priority="49">
      <dataBar showValue="0">
        <cfvo type="percent" val="0"/>
        <cfvo type="percent" val="100"/>
        <color theme="7"/>
      </dataBar>
      <extLst>
        <ext xmlns:x14="http://schemas.microsoft.com/office/spreadsheetml/2009/9/main" uri="{B025F937-C7B1-47D3-B67F-A62EFF666E3E}">
          <x14:id>{852A48FD-E199-4567-9431-0080DEFD0F23}</x14:id>
        </ext>
      </extLst>
    </cfRule>
  </conditionalFormatting>
  <conditionalFormatting sqref="O22">
    <cfRule type="dataBar" priority="48">
      <dataBar showValue="0">
        <cfvo type="percent" val="0"/>
        <cfvo type="percent" val="100"/>
        <color theme="7"/>
      </dataBar>
      <extLst>
        <ext xmlns:x14="http://schemas.microsoft.com/office/spreadsheetml/2009/9/main" uri="{B025F937-C7B1-47D3-B67F-A62EFF666E3E}">
          <x14:id>{F5D1A679-29E7-4C17-8B65-4830F2476665}</x14:id>
        </ext>
      </extLst>
    </cfRule>
  </conditionalFormatting>
  <conditionalFormatting sqref="O23">
    <cfRule type="dataBar" priority="47">
      <dataBar showValue="0">
        <cfvo type="percent" val="0"/>
        <cfvo type="percent" val="100"/>
        <color theme="7"/>
      </dataBar>
      <extLst>
        <ext xmlns:x14="http://schemas.microsoft.com/office/spreadsheetml/2009/9/main" uri="{B025F937-C7B1-47D3-B67F-A62EFF666E3E}">
          <x14:id>{88E5512B-A101-45D5-8963-07A088242F61}</x14:id>
        </ext>
      </extLst>
    </cfRule>
  </conditionalFormatting>
  <conditionalFormatting sqref="O50">
    <cfRule type="dataBar" priority="44">
      <dataBar>
        <cfvo type="percent" val="0"/>
        <cfvo type="percent" val="100"/>
        <color rgb="FF7030A0"/>
      </dataBar>
      <extLst>
        <ext xmlns:x14="http://schemas.microsoft.com/office/spreadsheetml/2009/9/main" uri="{B025F937-C7B1-47D3-B67F-A62EFF666E3E}">
          <x14:id>{B085F0DE-753C-4304-B374-7403E174AF52}</x14:id>
        </ext>
      </extLst>
    </cfRule>
    <cfRule type="dataBar" priority="45">
      <dataBar>
        <cfvo type="percent" val="0"/>
        <cfvo type="percent" val="100"/>
        <color rgb="FF7030A0"/>
      </dataBar>
      <extLst>
        <ext xmlns:x14="http://schemas.microsoft.com/office/spreadsheetml/2009/9/main" uri="{B025F937-C7B1-47D3-B67F-A62EFF666E3E}">
          <x14:id>{1C58BAE0-23A2-44C3-BDE2-682BC292FA47}</x14:id>
        </ext>
      </extLst>
    </cfRule>
  </conditionalFormatting>
  <conditionalFormatting sqref="O50:O57">
    <cfRule type="dataBar" priority="42">
      <dataBar showValue="0">
        <cfvo type="num" val="0"/>
        <cfvo type="num" val="1"/>
        <color rgb="FF7030A0"/>
      </dataBar>
      <extLst>
        <ext xmlns:x14="http://schemas.microsoft.com/office/spreadsheetml/2009/9/main" uri="{B025F937-C7B1-47D3-B67F-A62EFF666E3E}">
          <x14:id>{9EFC3645-228C-4618-A99B-0A023577B3FB}</x14:id>
        </ext>
      </extLst>
    </cfRule>
    <cfRule type="dataBar" priority="43">
      <dataBar>
        <cfvo type="percent" val="0"/>
        <cfvo type="percent" val="100"/>
        <color rgb="FF7030A0"/>
      </dataBar>
      <extLst>
        <ext xmlns:x14="http://schemas.microsoft.com/office/spreadsheetml/2009/9/main" uri="{B025F937-C7B1-47D3-B67F-A62EFF666E3E}">
          <x14:id>{F5FE1E70-5DE6-44C4-A2B8-6B77142BEE7A}</x14:id>
        </ext>
      </extLst>
    </cfRule>
  </conditionalFormatting>
  <conditionalFormatting sqref="O59:O61 O66:O67 O72 O74">
    <cfRule type="dataBar" priority="87">
      <dataBar>
        <cfvo type="percent" val="0"/>
        <cfvo type="percent" val="100"/>
        <color rgb="FF7030A0"/>
      </dataBar>
      <extLst>
        <ext xmlns:x14="http://schemas.microsoft.com/office/spreadsheetml/2009/9/main" uri="{B025F937-C7B1-47D3-B67F-A62EFF666E3E}">
          <x14:id>{65490BB3-05E3-4285-8F78-7C5320E7DF52}</x14:id>
        </ext>
      </extLst>
    </cfRule>
  </conditionalFormatting>
  <conditionalFormatting sqref="O62">
    <cfRule type="dataBar" priority="38">
      <dataBar showValue="0">
        <cfvo type="num" val="0"/>
        <cfvo type="num" val="1"/>
        <color rgb="FF7030A0"/>
      </dataBar>
      <extLst>
        <ext xmlns:x14="http://schemas.microsoft.com/office/spreadsheetml/2009/9/main" uri="{B025F937-C7B1-47D3-B67F-A62EFF666E3E}">
          <x14:id>{B8BB00CF-02A3-4228-B8FB-3AA8C5634304}</x14:id>
        </ext>
      </extLst>
    </cfRule>
    <cfRule type="dataBar" priority="39">
      <dataBar>
        <cfvo type="percent" val="0"/>
        <cfvo type="percent" val="100"/>
        <color rgb="FF7030A0"/>
      </dataBar>
      <extLst>
        <ext xmlns:x14="http://schemas.microsoft.com/office/spreadsheetml/2009/9/main" uri="{B025F937-C7B1-47D3-B67F-A62EFF666E3E}">
          <x14:id>{11B9CD92-5D4A-4573-993D-047D7542F843}</x14:id>
        </ext>
      </extLst>
    </cfRule>
  </conditionalFormatting>
  <conditionalFormatting sqref="O63">
    <cfRule type="dataBar" priority="37">
      <dataBar>
        <cfvo type="percent" val="0"/>
        <cfvo type="percent" val="100"/>
        <color rgb="FF7030A0"/>
      </dataBar>
      <extLst>
        <ext xmlns:x14="http://schemas.microsoft.com/office/spreadsheetml/2009/9/main" uri="{B025F937-C7B1-47D3-B67F-A62EFF666E3E}">
          <x14:id>{DEF825F1-69D7-4918-AB55-32CDF8A5281B}</x14:id>
        </ext>
      </extLst>
    </cfRule>
    <cfRule type="dataBar" priority="36">
      <dataBar showValue="0">
        <cfvo type="num" val="0"/>
        <cfvo type="num" val="1"/>
        <color rgb="FF7030A0"/>
      </dataBar>
      <extLst>
        <ext xmlns:x14="http://schemas.microsoft.com/office/spreadsheetml/2009/9/main" uri="{B025F937-C7B1-47D3-B67F-A62EFF666E3E}">
          <x14:id>{88EFC5DB-91C8-4215-97D8-9AC9B8BBCA8C}</x14:id>
        </ext>
      </extLst>
    </cfRule>
  </conditionalFormatting>
  <conditionalFormatting sqref="O64">
    <cfRule type="dataBar" priority="35">
      <dataBar>
        <cfvo type="percent" val="0"/>
        <cfvo type="percent" val="100"/>
        <color rgb="FF7030A0"/>
      </dataBar>
      <extLst>
        <ext xmlns:x14="http://schemas.microsoft.com/office/spreadsheetml/2009/9/main" uri="{B025F937-C7B1-47D3-B67F-A62EFF666E3E}">
          <x14:id>{8AB83DD2-347E-4EDB-B347-5011598B9D5B}</x14:id>
        </ext>
      </extLst>
    </cfRule>
    <cfRule type="dataBar" priority="34">
      <dataBar showValue="0">
        <cfvo type="num" val="0"/>
        <cfvo type="num" val="1"/>
        <color rgb="FF7030A0"/>
      </dataBar>
      <extLst>
        <ext xmlns:x14="http://schemas.microsoft.com/office/spreadsheetml/2009/9/main" uri="{B025F937-C7B1-47D3-B67F-A62EFF666E3E}">
          <x14:id>{A13DAD62-3987-4D46-86CA-4320D8D1559A}</x14:id>
        </ext>
      </extLst>
    </cfRule>
  </conditionalFormatting>
  <conditionalFormatting sqref="O68:O70">
    <cfRule type="dataBar" priority="33">
      <dataBar>
        <cfvo type="percent" val="0"/>
        <cfvo type="percent" val="100"/>
        <color rgb="FF7030A0"/>
      </dataBar>
      <extLst>
        <ext xmlns:x14="http://schemas.microsoft.com/office/spreadsheetml/2009/9/main" uri="{B025F937-C7B1-47D3-B67F-A62EFF666E3E}">
          <x14:id>{DC33544B-6240-48C9-BEAC-4A569BCA2FE1}</x14:id>
        </ext>
      </extLst>
    </cfRule>
    <cfRule type="dataBar" priority="32">
      <dataBar showValue="0">
        <cfvo type="num" val="0"/>
        <cfvo type="num" val="1"/>
        <color rgb="FF7030A0"/>
      </dataBar>
      <extLst>
        <ext xmlns:x14="http://schemas.microsoft.com/office/spreadsheetml/2009/9/main" uri="{B025F937-C7B1-47D3-B67F-A62EFF666E3E}">
          <x14:id>{9EFF6803-2E81-407C-9EA0-160284AEE28B}</x14:id>
        </ext>
      </extLst>
    </cfRule>
  </conditionalFormatting>
  <dataValidations disablePrompts="1" count="2">
    <dataValidation type="whole" showDropDown="1" showErrorMessage="1" errorTitle="Drop Down Box Cell Link" error="The value in a drop down box cell link must be a whole number within the control's lookup range rows." sqref="J48:M48 J2" xr:uid="{00000000-0002-0000-0400-000000000000}">
      <formula1>1</formula1>
      <formula2>ROWS(LU_FLU_Curr_Code)</formula2>
    </dataValidation>
    <dataValidation type="custom" showDropDown="1" showErrorMessage="1" errorTitle="Check Box Cell Link" error="The value in an option button cell link must be either &quot;TRUE&quot; or &quot;FALSE&quot;" sqref="C50:D50" xr:uid="{00000000-0002-0000-0400-000001000000}">
      <formula1>ISLOGICAL(C50)</formula1>
    </dataValidation>
  </dataValidations>
  <hyperlinks>
    <hyperlink ref="A4" location="$B$5" tooltip="Go to Top of Sheet" display="$B$5" xr:uid="{00000000-0004-0000-0400-000000000000}"/>
    <hyperlink ref="D4" location="HL_Sheet_Main_36" tooltip="Go to Next Sheet" display="HL_Sheet_Main_36" xr:uid="{00000000-0004-0000-0400-000001000000}"/>
    <hyperlink ref="B4" location="HL_Sheet_Main_55" tooltip="Go to Previous Sheet" display="HL_Sheet_Main_55" xr:uid="{00000000-0004-0000-0400-000002000000}"/>
    <hyperlink ref="B3" location="HL_Home" tooltip="Go to Table of Contents" display="HL_Home" xr:uid="{00000000-0004-0000-0400-000003000000}"/>
    <hyperlink ref="F4" location="HL_Err_Chk" tooltip="Go to Error Checks" display="HL_Err_Chk" xr:uid="{00000000-0004-0000-0400-000004000000}"/>
    <hyperlink ref="H4" location="HL_Sens_Chk" tooltip="Go to Sensitivity Checks" display="HL_Sens_Chk" xr:uid="{00000000-0004-0000-0400-000005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340" r:id="rId4" name="Drop Down 4">
              <controlPr defaultSize="0" autoFill="0" autoPict="0">
                <anchor moveWithCells="1">
                  <from>
                    <xdr:col>9</xdr:col>
                    <xdr:colOff>0</xdr:colOff>
                    <xdr:row>1</xdr:row>
                    <xdr:rowOff>0</xdr:rowOff>
                  </from>
                  <to>
                    <xdr:col>10</xdr:col>
                    <xdr:colOff>0</xdr:colOff>
                    <xdr:row>1</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3B231583-CD6B-438B-BB70-89786251EE8E}">
            <x14:dataBar minLength="0" maxLength="100">
              <x14:cfvo type="percent">
                <xm:f>0</xm:f>
              </x14:cfvo>
              <x14:cfvo type="percent">
                <xm:f>100</xm:f>
              </x14:cfvo>
              <x14:negativeFillColor rgb="FFFF0000"/>
              <x14:axisColor rgb="FF000000"/>
            </x14:dataBar>
          </x14:cfRule>
          <x14:cfRule type="dataBar" id="{F6A0A175-712B-4400-B943-56C862BBEEFC}">
            <x14:dataBar minLength="0" maxLength="100">
              <x14:cfvo type="percent">
                <xm:f>0</xm:f>
              </x14:cfvo>
              <x14:cfvo type="percent">
                <xm:f>100</xm:f>
              </x14:cfvo>
              <x14:negativeFillColor rgb="FFFF0000"/>
              <x14:axisColor rgb="FF000000"/>
            </x14:dataBar>
          </x14:cfRule>
          <xm:sqref>K50:L50</xm:sqref>
        </x14:conditionalFormatting>
        <x14:conditionalFormatting xmlns:xm="http://schemas.microsoft.com/office/excel/2006/main">
          <x14:cfRule type="dataBar" id="{1FB56C7F-05A4-4A48-B9BF-A1638ECBABB6}">
            <x14:dataBar minLength="0" maxLength="100" gradient="0" direction="leftToRight">
              <x14:cfvo type="percent">
                <xm:f>0</xm:f>
              </x14:cfvo>
              <x14:cfvo type="percent">
                <xm:f>100</xm:f>
              </x14:cfvo>
              <x14:negativeFillColor rgb="FFFF0000"/>
              <x14:axisColor rgb="FF000000"/>
            </x14:dataBar>
          </x14:cfRule>
          <xm:sqref>K50:L57 K74:L74 K72:L72 K59:L64 K66:L70</xm:sqref>
        </x14:conditionalFormatting>
        <x14:conditionalFormatting xmlns:xm="http://schemas.microsoft.com/office/excel/2006/main">
          <x14:cfRule type="dataBar" id="{E9BC37C5-E94F-49BE-A7DC-A1E85919900D}">
            <x14:dataBar minLength="0" maxLength="100" gradient="0">
              <x14:cfvo type="num">
                <xm:f>0</xm:f>
              </x14:cfvo>
              <x14:cfvo type="num">
                <xm:f>1</xm:f>
              </x14:cfvo>
              <x14:negativeFillColor rgb="FFFF0000"/>
              <x14:axisColor rgb="FF000000"/>
            </x14:dataBar>
          </x14:cfRule>
          <xm:sqref>K50:L57</xm:sqref>
        </x14:conditionalFormatting>
        <x14:conditionalFormatting xmlns:xm="http://schemas.microsoft.com/office/excel/2006/main">
          <x14:cfRule type="dataBar" id="{EF4C1192-9244-4436-AF9C-CAE2CC3C89A1}">
            <x14:dataBar minLength="0" maxLength="100">
              <x14:cfvo type="percent">
                <xm:f>0</xm:f>
              </x14:cfvo>
              <x14:cfvo type="percent">
                <xm:f>100</xm:f>
              </x14:cfvo>
              <x14:negativeFillColor rgb="FFFF0000"/>
              <x14:axisColor rgb="FF000000"/>
            </x14:dataBar>
          </x14:cfRule>
          <x14:cfRule type="dataBar" id="{06FE82DB-FB6F-4D14-A1D7-A38BD1EFBFE4}">
            <x14:dataBar minLength="0" maxLength="100">
              <x14:cfvo type="percent">
                <xm:f>0</xm:f>
              </x14:cfvo>
              <x14:cfvo type="percent">
                <xm:f>100</xm:f>
              </x14:cfvo>
              <x14:negativeFillColor rgb="FFFF0000"/>
              <x14:axisColor rgb="FF000000"/>
            </x14:dataBar>
          </x14:cfRule>
          <xm:sqref>K62:L63</xm:sqref>
        </x14:conditionalFormatting>
        <x14:conditionalFormatting xmlns:xm="http://schemas.microsoft.com/office/excel/2006/main">
          <x14:cfRule type="dataBar" id="{81884507-D7DE-435E-A946-A599C4B950BA}">
            <x14:dataBar minLength="0" maxLength="100" gradient="0">
              <x14:cfvo type="num">
                <xm:f>0</xm:f>
              </x14:cfvo>
              <x14:cfvo type="num">
                <xm:f>1</xm:f>
              </x14:cfvo>
              <x14:negativeFillColor rgb="FFFF0000"/>
              <x14:axisColor rgb="FF000000"/>
            </x14:dataBar>
          </x14:cfRule>
          <xm:sqref>K62:L64</xm:sqref>
        </x14:conditionalFormatting>
        <x14:conditionalFormatting xmlns:xm="http://schemas.microsoft.com/office/excel/2006/main">
          <x14:cfRule type="dataBar" id="{6A78292E-B81A-4A0E-9419-1066FA2DF5EB}">
            <x14:dataBar minLength="0" maxLength="100">
              <x14:cfvo type="percent">
                <xm:f>0</xm:f>
              </x14:cfvo>
              <x14:cfvo type="percent">
                <xm:f>100</xm:f>
              </x14:cfvo>
              <x14:negativeFillColor rgb="FFFF0000"/>
              <x14:axisColor rgb="FF000000"/>
            </x14:dataBar>
          </x14:cfRule>
          <x14:cfRule type="dataBar" id="{B68D7732-38D3-42B8-8468-E3F2D352D255}">
            <x14:dataBar minLength="0" maxLength="100">
              <x14:cfvo type="percent">
                <xm:f>0</xm:f>
              </x14:cfvo>
              <x14:cfvo type="percent">
                <xm:f>100</xm:f>
              </x14:cfvo>
              <x14:negativeFillColor rgb="FFFF0000"/>
              <x14:axisColor rgb="FF000000"/>
            </x14:dataBar>
          </x14:cfRule>
          <xm:sqref>K64:L64</xm:sqref>
        </x14:conditionalFormatting>
        <x14:conditionalFormatting xmlns:xm="http://schemas.microsoft.com/office/excel/2006/main">
          <x14:cfRule type="dataBar" id="{887A9959-0CF9-4070-BB36-84D1AFA4A7A4}">
            <x14:dataBar minLength="0" maxLength="100">
              <x14:cfvo type="percent">
                <xm:f>0</xm:f>
              </x14:cfvo>
              <x14:cfvo type="percent">
                <xm:f>100</xm:f>
              </x14:cfvo>
              <x14:negativeFillColor rgb="FFFF0000"/>
              <x14:axisColor rgb="FF000000"/>
            </x14:dataBar>
          </x14:cfRule>
          <x14:cfRule type="dataBar" id="{27DC1F12-3CDE-4CE7-8FB7-669280E339E5}">
            <x14:dataBar minLength="0" maxLength="100">
              <x14:cfvo type="percent">
                <xm:f>0</xm:f>
              </x14:cfvo>
              <x14:cfvo type="percent">
                <xm:f>100</xm:f>
              </x14:cfvo>
              <x14:negativeFillColor rgb="FFFF0000"/>
              <x14:axisColor rgb="FF000000"/>
            </x14:dataBar>
          </x14:cfRule>
          <x14:cfRule type="dataBar" id="{55C2D623-6D4A-43A3-BAAF-5C617F3ADF03}">
            <x14:dataBar minLength="0" maxLength="100" gradient="0">
              <x14:cfvo type="num">
                <xm:f>0</xm:f>
              </x14:cfvo>
              <x14:cfvo type="num">
                <xm:f>1</xm:f>
              </x14:cfvo>
              <x14:negativeFillColor rgb="FFFF0000"/>
              <x14:axisColor rgb="FF000000"/>
            </x14:dataBar>
          </x14:cfRule>
          <xm:sqref>K68:L70</xm:sqref>
        </x14:conditionalFormatting>
        <x14:conditionalFormatting xmlns:xm="http://schemas.microsoft.com/office/excel/2006/main">
          <x14:cfRule type="dataBar" id="{852A48FD-E199-4567-9431-0080DEFD0F23}">
            <x14:dataBar minLength="0" maxLength="100" direction="leftToRight">
              <x14:cfvo type="percent">
                <xm:f>0</xm:f>
              </x14:cfvo>
              <x14:cfvo type="percent">
                <xm:f>100</xm:f>
              </x14:cfvo>
              <x14:negativeFillColor rgb="FFFF0000"/>
              <x14:axisColor rgb="FF000000"/>
            </x14:dataBar>
          </x14:cfRule>
          <xm:sqref>O21</xm:sqref>
        </x14:conditionalFormatting>
        <x14:conditionalFormatting xmlns:xm="http://schemas.microsoft.com/office/excel/2006/main">
          <x14:cfRule type="dataBar" id="{F5D1A679-29E7-4C17-8B65-4830F2476665}">
            <x14:dataBar minLength="0" maxLength="100" direction="leftToRight">
              <x14:cfvo type="percent">
                <xm:f>0</xm:f>
              </x14:cfvo>
              <x14:cfvo type="percent">
                <xm:f>100</xm:f>
              </x14:cfvo>
              <x14:negativeFillColor rgb="FFFF0000"/>
              <x14:axisColor rgb="FF000000"/>
            </x14:dataBar>
          </x14:cfRule>
          <xm:sqref>O22</xm:sqref>
        </x14:conditionalFormatting>
        <x14:conditionalFormatting xmlns:xm="http://schemas.microsoft.com/office/excel/2006/main">
          <x14:cfRule type="dataBar" id="{88E5512B-A101-45D5-8963-07A088242F61}">
            <x14:dataBar minLength="0" maxLength="100" direction="leftToRight">
              <x14:cfvo type="percent">
                <xm:f>0</xm:f>
              </x14:cfvo>
              <x14:cfvo type="percent">
                <xm:f>100</xm:f>
              </x14:cfvo>
              <x14:negativeFillColor rgb="FFFF0000"/>
              <x14:axisColor rgb="FF000000"/>
            </x14:dataBar>
          </x14:cfRule>
          <xm:sqref>O23</xm:sqref>
        </x14:conditionalFormatting>
        <x14:conditionalFormatting xmlns:xm="http://schemas.microsoft.com/office/excel/2006/main">
          <x14:cfRule type="dataBar" id="{B085F0DE-753C-4304-B374-7403E174AF52}">
            <x14:dataBar minLength="0" maxLength="100">
              <x14:cfvo type="percent">
                <xm:f>0</xm:f>
              </x14:cfvo>
              <x14:cfvo type="percent">
                <xm:f>100</xm:f>
              </x14:cfvo>
              <x14:negativeFillColor rgb="FFFF0000"/>
              <x14:axisColor rgb="FF000000"/>
            </x14:dataBar>
          </x14:cfRule>
          <x14:cfRule type="dataBar" id="{1C58BAE0-23A2-44C3-BDE2-682BC292FA47}">
            <x14:dataBar minLength="0" maxLength="100">
              <x14:cfvo type="percent">
                <xm:f>0</xm:f>
              </x14:cfvo>
              <x14:cfvo type="percent">
                <xm:f>100</xm:f>
              </x14:cfvo>
              <x14:negativeFillColor rgb="FFFF0000"/>
              <x14:axisColor rgb="FF000000"/>
            </x14:dataBar>
          </x14:cfRule>
          <xm:sqref>O50</xm:sqref>
        </x14:conditionalFormatting>
        <x14:conditionalFormatting xmlns:xm="http://schemas.microsoft.com/office/excel/2006/main">
          <x14:cfRule type="dataBar" id="{9EFC3645-228C-4618-A99B-0A023577B3FB}">
            <x14:dataBar minLength="0" maxLength="100" gradient="0">
              <x14:cfvo type="num">
                <xm:f>0</xm:f>
              </x14:cfvo>
              <x14:cfvo type="num">
                <xm:f>1</xm:f>
              </x14:cfvo>
              <x14:negativeFillColor rgb="FFFF0000"/>
              <x14:axisColor rgb="FF000000"/>
            </x14:dataBar>
          </x14:cfRule>
          <x14:cfRule type="dataBar" id="{F5FE1E70-5DE6-44C4-A2B8-6B77142BEE7A}">
            <x14:dataBar minLength="0" maxLength="100" gradient="0" direction="leftToRight">
              <x14:cfvo type="percent">
                <xm:f>0</xm:f>
              </x14:cfvo>
              <x14:cfvo type="percent">
                <xm:f>100</xm:f>
              </x14:cfvo>
              <x14:negativeFillColor rgb="FFFF0000"/>
              <x14:axisColor rgb="FF000000"/>
            </x14:dataBar>
          </x14:cfRule>
          <xm:sqref>O50:O57</xm:sqref>
        </x14:conditionalFormatting>
        <x14:conditionalFormatting xmlns:xm="http://schemas.microsoft.com/office/excel/2006/main">
          <x14:cfRule type="dataBar" id="{65490BB3-05E3-4285-8F78-7C5320E7DF52}">
            <x14:dataBar minLength="0" maxLength="100" gradient="0" direction="leftToRight">
              <x14:cfvo type="percent">
                <xm:f>0</xm:f>
              </x14:cfvo>
              <x14:cfvo type="percent">
                <xm:f>100</xm:f>
              </x14:cfvo>
              <x14:negativeFillColor rgb="FFFF0000"/>
              <x14:axisColor rgb="FF000000"/>
            </x14:dataBar>
          </x14:cfRule>
          <xm:sqref>O59:O61 O66:O67 O72 O74</xm:sqref>
        </x14:conditionalFormatting>
        <x14:conditionalFormatting xmlns:xm="http://schemas.microsoft.com/office/excel/2006/main">
          <x14:cfRule type="dataBar" id="{B8BB00CF-02A3-4228-B8FB-3AA8C5634304}">
            <x14:dataBar minLength="0" maxLength="100" gradient="0">
              <x14:cfvo type="num">
                <xm:f>0</xm:f>
              </x14:cfvo>
              <x14:cfvo type="num">
                <xm:f>1</xm:f>
              </x14:cfvo>
              <x14:negativeFillColor rgb="FFFF0000"/>
              <x14:axisColor rgb="FF000000"/>
            </x14:dataBar>
          </x14:cfRule>
          <x14:cfRule type="dataBar" id="{11B9CD92-5D4A-4573-993D-047D7542F843}">
            <x14:dataBar minLength="0" maxLength="100" gradient="0" direction="leftToRight">
              <x14:cfvo type="percent">
                <xm:f>0</xm:f>
              </x14:cfvo>
              <x14:cfvo type="percent">
                <xm:f>100</xm:f>
              </x14:cfvo>
              <x14:negativeFillColor rgb="FFFF0000"/>
              <x14:axisColor rgb="FF000000"/>
            </x14:dataBar>
          </x14:cfRule>
          <xm:sqref>O62</xm:sqref>
        </x14:conditionalFormatting>
        <x14:conditionalFormatting xmlns:xm="http://schemas.microsoft.com/office/excel/2006/main">
          <x14:cfRule type="dataBar" id="{DEF825F1-69D7-4918-AB55-32CDF8A5281B}">
            <x14:dataBar minLength="0" maxLength="100" gradient="0" direction="leftToRight">
              <x14:cfvo type="percent">
                <xm:f>0</xm:f>
              </x14:cfvo>
              <x14:cfvo type="percent">
                <xm:f>100</xm:f>
              </x14:cfvo>
              <x14:negativeFillColor rgb="FFFF0000"/>
              <x14:axisColor rgb="FF000000"/>
            </x14:dataBar>
          </x14:cfRule>
          <x14:cfRule type="dataBar" id="{88EFC5DB-91C8-4215-97D8-9AC9B8BBCA8C}">
            <x14:dataBar minLength="0" maxLength="100" gradient="0">
              <x14:cfvo type="num">
                <xm:f>0</xm:f>
              </x14:cfvo>
              <x14:cfvo type="num">
                <xm:f>1</xm:f>
              </x14:cfvo>
              <x14:negativeFillColor rgb="FFFF0000"/>
              <x14:axisColor rgb="FF000000"/>
            </x14:dataBar>
          </x14:cfRule>
          <xm:sqref>O63</xm:sqref>
        </x14:conditionalFormatting>
        <x14:conditionalFormatting xmlns:xm="http://schemas.microsoft.com/office/excel/2006/main">
          <x14:cfRule type="dataBar" id="{8AB83DD2-347E-4EDB-B347-5011598B9D5B}">
            <x14:dataBar minLength="0" maxLength="100" gradient="0" direction="leftToRight">
              <x14:cfvo type="percent">
                <xm:f>0</xm:f>
              </x14:cfvo>
              <x14:cfvo type="percent">
                <xm:f>100</xm:f>
              </x14:cfvo>
              <x14:negativeFillColor rgb="FFFF0000"/>
              <x14:axisColor rgb="FF000000"/>
            </x14:dataBar>
          </x14:cfRule>
          <x14:cfRule type="dataBar" id="{A13DAD62-3987-4D46-86CA-4320D8D1559A}">
            <x14:dataBar minLength="0" maxLength="100" gradient="0">
              <x14:cfvo type="num">
                <xm:f>0</xm:f>
              </x14:cfvo>
              <x14:cfvo type="num">
                <xm:f>1</xm:f>
              </x14:cfvo>
              <x14:negativeFillColor rgb="FFFF0000"/>
              <x14:axisColor rgb="FF000000"/>
            </x14:dataBar>
          </x14:cfRule>
          <xm:sqref>O64</xm:sqref>
        </x14:conditionalFormatting>
        <x14:conditionalFormatting xmlns:xm="http://schemas.microsoft.com/office/excel/2006/main">
          <x14:cfRule type="dataBar" id="{DC33544B-6240-48C9-BEAC-4A569BCA2FE1}">
            <x14:dataBar minLength="0" maxLength="100" gradient="0" direction="leftToRight">
              <x14:cfvo type="percent">
                <xm:f>0</xm:f>
              </x14:cfvo>
              <x14:cfvo type="percent">
                <xm:f>100</xm:f>
              </x14:cfvo>
              <x14:negativeFillColor rgb="FFFF0000"/>
              <x14:axisColor rgb="FF000000"/>
            </x14:dataBar>
          </x14:cfRule>
          <x14:cfRule type="dataBar" id="{9EFF6803-2E81-407C-9EA0-160284AEE28B}">
            <x14:dataBar minLength="0" maxLength="100" gradient="0">
              <x14:cfvo type="num">
                <xm:f>0</xm:f>
              </x14:cfvo>
              <x14:cfvo type="num">
                <xm:f>1</xm:f>
              </x14:cfvo>
              <x14:negativeFillColor rgb="FFFF0000"/>
              <x14:axisColor rgb="FF000000"/>
            </x14:dataBar>
          </x14:cfRule>
          <xm:sqref>O68:O70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autoPageBreaks="0"/>
  </sheetPr>
  <dimension ref="A1:R149"/>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11.6640625" defaultRowHeight="14.4" outlineLevelRow="2"/>
  <cols>
    <col min="1" max="5" width="3.6640625" customWidth="1"/>
    <col min="6" max="6" width="8.6640625" customWidth="1"/>
    <col min="8" max="8" width="38.6640625" customWidth="1"/>
    <col min="9" max="11" width="16.109375" customWidth="1"/>
    <col min="12" max="12" width="16.109375" hidden="1" customWidth="1"/>
    <col min="13" max="14" width="16.109375" customWidth="1"/>
    <col min="15" max="15" width="17.109375" customWidth="1"/>
    <col min="16" max="16" width="17.109375" hidden="1" customWidth="1"/>
    <col min="17" max="17" width="16.109375" hidden="1" customWidth="1"/>
  </cols>
  <sheetData>
    <row r="1" spans="1:14" ht="21">
      <c r="B1" s="56" t="s">
        <v>780</v>
      </c>
    </row>
    <row r="2" spans="1:14" ht="18">
      <c r="B2" s="164" t="str">
        <f>Model_Name</f>
        <v>Seasonal Influenza Immunization Costing Tool (SIICT)  - Test Country</v>
      </c>
    </row>
    <row r="3" spans="1:14">
      <c r="B3" s="668" t="s">
        <v>1</v>
      </c>
      <c r="C3" s="668"/>
      <c r="D3" s="668"/>
      <c r="E3" s="668"/>
      <c r="F3" s="668"/>
    </row>
    <row r="4" spans="1:14">
      <c r="A4" s="54" t="s">
        <v>3</v>
      </c>
      <c r="B4" s="5" t="s">
        <v>4</v>
      </c>
      <c r="C4" s="6" t="s">
        <v>5</v>
      </c>
      <c r="D4" s="394" t="s">
        <v>25</v>
      </c>
      <c r="E4" s="330" t="s">
        <v>26</v>
      </c>
      <c r="F4" s="395" t="s">
        <v>27</v>
      </c>
    </row>
    <row r="6" spans="1:14" ht="21.6" thickBot="1">
      <c r="F6" s="355" t="s">
        <v>842</v>
      </c>
    </row>
    <row r="7" spans="1:14" ht="15" thickBot="1">
      <c r="A7" s="54"/>
      <c r="B7" s="5"/>
      <c r="C7" s="6"/>
      <c r="D7" s="394"/>
      <c r="E7" s="330"/>
      <c r="F7" s="705"/>
      <c r="G7" s="706"/>
      <c r="H7" s="707"/>
      <c r="I7" s="702" t="s">
        <v>843</v>
      </c>
      <c r="J7" s="704"/>
      <c r="K7" s="704"/>
      <c r="L7" s="704"/>
      <c r="M7" s="703"/>
    </row>
    <row r="8" spans="1:14" ht="15" thickBot="1">
      <c r="A8" s="54"/>
      <c r="B8" s="5"/>
      <c r="C8" s="6"/>
      <c r="D8" s="394"/>
      <c r="E8" s="330"/>
      <c r="F8" s="708"/>
      <c r="G8" s="709"/>
      <c r="H8" s="710"/>
      <c r="I8" s="702" t="str">
        <f>FLU_LU!$D$78</f>
        <v>USD</v>
      </c>
      <c r="J8" s="703"/>
      <c r="K8" s="702" t="str">
        <f>FLU_LU!$D$79</f>
        <v>GOZ</v>
      </c>
      <c r="L8" s="704"/>
      <c r="M8" s="703"/>
    </row>
    <row r="9" spans="1:14" ht="15" thickBot="1">
      <c r="A9" s="54"/>
      <c r="B9" s="5"/>
      <c r="C9" s="6"/>
      <c r="D9" s="394"/>
      <c r="E9" s="330"/>
      <c r="F9" s="708"/>
      <c r="G9" s="709"/>
      <c r="H9" s="710"/>
      <c r="I9" s="554" t="str">
        <f>FLU_LU!$D$307</f>
        <v>Financial</v>
      </c>
      <c r="J9" s="555" t="str">
        <f>FLU_LU!$D$308</f>
        <v>Economic</v>
      </c>
      <c r="K9" s="554" t="str">
        <f>FLU_LU!$D$307</f>
        <v>Financial</v>
      </c>
      <c r="L9" s="556"/>
      <c r="M9" s="555" t="str">
        <f>FLU_LU!$D$308</f>
        <v>Economic</v>
      </c>
    </row>
    <row r="10" spans="1:14" ht="18.600000000000001" thickBot="1">
      <c r="A10" s="54"/>
      <c r="B10" s="5"/>
      <c r="C10" s="6"/>
      <c r="D10" s="394"/>
      <c r="E10" s="330"/>
      <c r="F10" s="581" t="s">
        <v>844</v>
      </c>
      <c r="G10" s="582"/>
      <c r="H10" s="582"/>
      <c r="I10" s="572"/>
      <c r="J10" s="572"/>
      <c r="K10" s="572"/>
      <c r="L10" s="556"/>
      <c r="M10" s="555"/>
    </row>
    <row r="11" spans="1:14">
      <c r="A11" s="54"/>
      <c r="B11" s="5"/>
      <c r="C11" s="6"/>
      <c r="D11" s="394"/>
      <c r="E11" s="330"/>
      <c r="F11" s="558" t="str">
        <f>I58</f>
        <v>Routine Immunization by a Facility Nurse</v>
      </c>
      <c r="G11" s="559"/>
      <c r="H11" s="559"/>
      <c r="I11" s="567">
        <f>IF(DD_FLU_SD_A_CURRENCY=1,SD_IMM!J68,SD_IMM!J68/FLU_XCHANGE_YR1)</f>
        <v>0</v>
      </c>
      <c r="J11" s="569">
        <f>IF(DD_FLU_SD_A_CURRENCY=1,SD_IMM!J69,SD_IMM!J69/FLU_XCHANGE_YR1)</f>
        <v>0.33</v>
      </c>
      <c r="K11" s="579">
        <f>IF(DD_FLU_SD_A_CURRENCY=2,SD_IMM!J68,SD_IMM!J68*FLU_XCHANGE_YR1)</f>
        <v>0</v>
      </c>
      <c r="L11" s="559"/>
      <c r="M11" s="574">
        <f>IF(DD_FLU_SD_A_CURRENCY=2,SD_IMM!J69,SD_IMM!J69*FLU_XCHANGE_YR1)</f>
        <v>49.5</v>
      </c>
      <c r="N11" s="575"/>
    </row>
    <row r="12" spans="1:14">
      <c r="A12" s="54"/>
      <c r="B12" s="5"/>
      <c r="C12" s="6"/>
      <c r="D12" s="394"/>
      <c r="E12" s="330"/>
      <c r="F12" s="560" t="str">
        <f>J58</f>
        <v>Routine Immunization by an Home Visit Nurse</v>
      </c>
      <c r="G12" s="557"/>
      <c r="H12" s="557"/>
      <c r="I12" s="568">
        <f>IF(DD_FLU_SD_B_CURRENCY=1,SD_IMM!J137,SD_IMM!J137/FLU_XCHANGE_YR1)</f>
        <v>0</v>
      </c>
      <c r="J12" s="570">
        <f>IF(DD_FLU_SD_B_CURRENCY=1,SD_IMM!J138,SD_IMM!J138/FLU_XCHANGE_YR1)</f>
        <v>0.33</v>
      </c>
      <c r="K12" s="578">
        <f>IF(DD_FLU_SD_B_CURRENCY=2,SD_IMM!J137,SD_IMM!J137*FLU_XCHANGE_YR1)</f>
        <v>0</v>
      </c>
      <c r="L12" s="557"/>
      <c r="M12" s="583">
        <f>IF(DD_FLU_SD_B_CURRENCY=2,SD_IMM!J138,SD_IMM!J138*FLU_XCHANGE_YR1)</f>
        <v>49.5</v>
      </c>
    </row>
    <row r="13" spans="1:14" ht="15" thickBot="1">
      <c r="A13" s="54"/>
      <c r="B13" s="5"/>
      <c r="C13" s="6"/>
      <c r="D13" s="394"/>
      <c r="E13" s="330"/>
      <c r="F13" s="563" t="str">
        <f>K58</f>
        <v>Routine Immunization by a Satellite Outreach Nurse</v>
      </c>
      <c r="G13" s="564"/>
      <c r="H13" s="564"/>
      <c r="I13" s="586">
        <f>IF(DD_FLU_SD_C_CURRENCY=1,SD_IMM!J208,SD_IMM!J208/FLU_XCHANGE_YR1)</f>
        <v>0</v>
      </c>
      <c r="J13" s="587">
        <f>IF(DD_FLU_SD_C_CURRENCY=1,SD_IMM!J209,SD_IMM!J209/FLU_XCHANGE_YR1)</f>
        <v>0.33</v>
      </c>
      <c r="K13" s="588">
        <f>IF(DD_FLU_SD_C_CURRENCY=2,SD_IMM!J208,SD_IMM!J208*FLU_XCHANGE_YR1)</f>
        <v>0</v>
      </c>
      <c r="L13" s="564"/>
      <c r="M13" s="589">
        <f>IF(DD_FLU_SD_C_CURRENCY=2,SD_IMM!J209,SD_IMM!J209*FLU_XCHANGE_YR1)</f>
        <v>49.5</v>
      </c>
    </row>
    <row r="14" spans="1:14" ht="18.600000000000001" thickBot="1">
      <c r="A14" s="54"/>
      <c r="B14" s="5"/>
      <c r="C14" s="6"/>
      <c r="D14" s="394"/>
      <c r="E14" s="330"/>
      <c r="F14" s="576" t="s">
        <v>845</v>
      </c>
      <c r="G14" s="506"/>
      <c r="H14" s="506"/>
      <c r="I14" s="506"/>
      <c r="J14" s="506"/>
      <c r="K14" s="506"/>
      <c r="L14" s="506"/>
      <c r="M14" s="507"/>
    </row>
    <row r="15" spans="1:14">
      <c r="A15" s="54"/>
      <c r="B15" s="5"/>
      <c r="C15" s="6"/>
      <c r="D15" s="394"/>
      <c r="E15" s="330"/>
      <c r="F15" s="565" t="str">
        <f>M58</f>
        <v>SIA - Team of 2 Nurses - Full Working Day</v>
      </c>
      <c r="G15" s="566"/>
      <c r="H15" s="566"/>
      <c r="I15" s="590">
        <f>IF(DD_FLU_SD_D_CURRENCY=1,SD_IMM!J274,SD_IMM!J274/FLU_XCHANGE_YR1)</f>
        <v>0</v>
      </c>
      <c r="J15" s="590">
        <f>IF(DD_FLU_SD_D_CURRENCY=1,SD_IMM!J275,SD_IMM!J275/FLU_XCHANGE_YR1)</f>
        <v>44</v>
      </c>
      <c r="K15" s="591">
        <f>IF(DD_FLU_SD_D_CURRENCY=2,SD_IMM!J274,SD_IMM!J274*FLU_XCHANGE_YR1)</f>
        <v>0</v>
      </c>
      <c r="L15" s="566"/>
      <c r="M15" s="577">
        <f>IF(DD_FLU_SD_D_CURRENCY=2,SD_IMM!J275,SD_IMM!J275*FLU_XCHANGE_YR1)</f>
        <v>6600</v>
      </c>
    </row>
    <row r="16" spans="1:14">
      <c r="A16" s="54"/>
      <c r="B16" s="5"/>
      <c r="C16" s="6"/>
      <c r="D16" s="394"/>
      <c r="E16" s="330"/>
      <c r="F16" s="560" t="str">
        <f>N58</f>
        <v>SIA - Team of 1 Doctor and 1 Nurse - Full Working Day</v>
      </c>
      <c r="G16" s="557"/>
      <c r="H16" s="557"/>
      <c r="I16" s="570">
        <f>IF(DD_FLU_SD_E_CURRENCY=1,SD_IMM!J339,SD_IMM!J339/FLU_XCHANGE_YR1)</f>
        <v>0</v>
      </c>
      <c r="J16" s="570">
        <f>IF(DD_FLU_SD_E_CURRENCY=1,SD_IMM!J340,SD_IMM!J340/FLU_XCHANGE_YR1)</f>
        <v>53</v>
      </c>
      <c r="K16" s="578">
        <f>IF(DD_FLU_SD_E_CURRENCY=2,SD_IMM!J339,SD_IMM!J339*FLU_XCHANGE_YR1)</f>
        <v>0</v>
      </c>
      <c r="L16" s="557"/>
      <c r="M16" s="584">
        <f>IF(DD_FLU_SD_E_CURRENCY=2,SD_IMM!J340,SD_IMM!J340*FLU_XCHANGE_YR1)</f>
        <v>7950</v>
      </c>
    </row>
    <row r="17" spans="1:18" ht="15" thickBot="1">
      <c r="A17" s="54"/>
      <c r="B17" s="5"/>
      <c r="C17" s="6"/>
      <c r="D17" s="394"/>
      <c r="E17" s="330"/>
      <c r="F17" s="561" t="str">
        <f>O58</f>
        <v>Service Delivery - Special Immunization Activity Category 3</v>
      </c>
      <c r="G17" s="562"/>
      <c r="H17" s="562"/>
      <c r="I17" s="571">
        <f>IF(DD_FLU_SD_F_CURRENCY=1,SD_IMM!J406,SD_IMM!J406/FLU_XCHANGE_YR1)</f>
        <v>0</v>
      </c>
      <c r="J17" s="571">
        <f>IF(DD_FLU_SD_F_CURRENCY=1,SD_IMM!J407,SD_IMM!J407/FLU_XCHANGE_YR1)</f>
        <v>0</v>
      </c>
      <c r="K17" s="580">
        <f>IF(DD_FLU_SD_F_CURRENCY=2,SD_IMM!J406,SD_IMM!J406*FLU_XCHANGE_YR1)</f>
        <v>0</v>
      </c>
      <c r="L17" s="562"/>
      <c r="M17" s="585">
        <f>IF(DD_FLU_SD_F_CURRENCY=2,SD_IMM!J407,SD_IMM!J407*FLU_XCHANGE_YR1)</f>
        <v>0</v>
      </c>
    </row>
    <row r="20" spans="1:18">
      <c r="M20" s="597" t="s">
        <v>850</v>
      </c>
      <c r="N20" s="86">
        <v>1</v>
      </c>
    </row>
    <row r="21" spans="1:18" ht="21.6" thickBot="1">
      <c r="F21" s="355" t="s">
        <v>846</v>
      </c>
      <c r="N21" s="221"/>
      <c r="O21" s="221"/>
      <c r="P21" s="701"/>
      <c r="Q21" s="701"/>
      <c r="R21" s="701"/>
    </row>
    <row r="22" spans="1:18" ht="21">
      <c r="F22" s="592"/>
      <c r="G22" s="556"/>
      <c r="H22" s="556"/>
      <c r="I22" s="556"/>
      <c r="J22" s="572" t="s">
        <v>721</v>
      </c>
      <c r="K22" s="555" t="s">
        <v>722</v>
      </c>
      <c r="L22" s="221"/>
      <c r="M22" s="554" t="s">
        <v>848</v>
      </c>
      <c r="N22" s="555" t="s">
        <v>849</v>
      </c>
      <c r="O22" s="221"/>
      <c r="P22" s="221"/>
      <c r="Q22" s="221"/>
      <c r="R22" s="221"/>
    </row>
    <row r="23" spans="1:18" ht="18">
      <c r="F23" s="573" t="s">
        <v>772</v>
      </c>
      <c r="G23" s="11"/>
      <c r="H23" s="11"/>
      <c r="I23" s="11"/>
      <c r="J23" s="11"/>
      <c r="K23" s="232"/>
      <c r="M23" s="610" t="str">
        <f ca="1">OFFSET(FLU_LU!$D$77,N20,0)</f>
        <v>USD</v>
      </c>
      <c r="N23" s="611" t="str">
        <f ca="1">OFFSET(FLU_LU!$D$77,N20,0)</f>
        <v>USD</v>
      </c>
    </row>
    <row r="24" spans="1:18">
      <c r="F24" s="233"/>
      <c r="G24" s="11" t="str">
        <f>SD_IMM!F18</f>
        <v>Routine Immunization by a Facility Nurse</v>
      </c>
      <c r="H24" s="11"/>
      <c r="I24" s="11"/>
      <c r="J24" s="235">
        <f>'SD-Analysis'!I109</f>
        <v>4900</v>
      </c>
      <c r="K24" s="609">
        <f>J24/$J$34</f>
        <v>0.54153818949415922</v>
      </c>
      <c r="L24" s="362"/>
      <c r="M24" s="598">
        <f>IF($N$20=1,J24*I11,J24*K11)</f>
        <v>0</v>
      </c>
      <c r="N24" s="599">
        <f>IF($N$20=1,J24*J11,J24*M11)</f>
        <v>1617</v>
      </c>
    </row>
    <row r="25" spans="1:18">
      <c r="F25" s="233"/>
      <c r="G25" s="11" t="str">
        <f>SD_IMM!F19</f>
        <v>Routine Immunization by an Home Visit Nurse</v>
      </c>
      <c r="H25" s="11"/>
      <c r="I25" s="11"/>
      <c r="J25" s="235">
        <f>'SD-Analysis'!J109</f>
        <v>0</v>
      </c>
      <c r="K25" s="609">
        <f>J25/$J$34</f>
        <v>0</v>
      </c>
      <c r="L25" s="362"/>
      <c r="M25" s="598">
        <f>IF($N$20=1,J25*I12,J25*K12)</f>
        <v>0</v>
      </c>
      <c r="N25" s="599">
        <f>IF($N$20=1,J25*J12,J25*M12)</f>
        <v>0</v>
      </c>
    </row>
    <row r="26" spans="1:18">
      <c r="F26" s="233"/>
      <c r="G26" s="11" t="str">
        <f>SD_IMM!F20</f>
        <v>Routine Immunization by a Satellite Outreach Nurse</v>
      </c>
      <c r="H26" s="11"/>
      <c r="I26" s="11"/>
      <c r="J26" s="235">
        <f>'SD-Analysis'!K109</f>
        <v>0</v>
      </c>
      <c r="K26" s="609">
        <f>J26/$J$34</f>
        <v>0</v>
      </c>
      <c r="L26" s="362"/>
      <c r="M26" s="598">
        <f>IF($N$20=1,J26*I13,J26*K13)</f>
        <v>0</v>
      </c>
      <c r="N26" s="599">
        <f>IF($N$20=1,J26*J13,J26*M13)</f>
        <v>0</v>
      </c>
    </row>
    <row r="27" spans="1:18">
      <c r="F27" s="233"/>
      <c r="G27" s="11" t="s">
        <v>719</v>
      </c>
      <c r="H27" s="11"/>
      <c r="I27" s="11"/>
      <c r="J27" s="360">
        <f>SUM(J24:J26)</f>
        <v>4900</v>
      </c>
      <c r="K27" s="593">
        <f>J27/$J$34</f>
        <v>0.54153818949415922</v>
      </c>
      <c r="L27" s="351"/>
      <c r="M27" s="504">
        <f>SUM(M24:M26)</f>
        <v>0</v>
      </c>
      <c r="N27" s="600">
        <f>SUM(N24:N26)</f>
        <v>1617</v>
      </c>
    </row>
    <row r="28" spans="1:18" ht="18">
      <c r="F28" s="573" t="s">
        <v>773</v>
      </c>
      <c r="G28" s="11"/>
      <c r="H28" s="11"/>
      <c r="I28" s="11"/>
      <c r="J28" s="11"/>
      <c r="K28" s="232"/>
      <c r="M28" s="233"/>
      <c r="N28" s="232"/>
    </row>
    <row r="29" spans="1:18">
      <c r="F29" s="233"/>
      <c r="G29" s="11" t="str">
        <f>SD_IMM!F24</f>
        <v>SIA - Team of 2 Nurses - Full Working Day</v>
      </c>
      <c r="H29" s="11"/>
      <c r="I29" s="11"/>
      <c r="J29" s="235">
        <f>'SD-Analysis'!M109</f>
        <v>2414.2999999999997</v>
      </c>
      <c r="K29" s="609">
        <f>J29/$J$34</f>
        <v>0.26682360222362211</v>
      </c>
      <c r="L29" s="362"/>
      <c r="M29" s="598">
        <f>IF($N$20=1,J29*I15,J29*K15)</f>
        <v>0</v>
      </c>
      <c r="N29" s="599">
        <f>IF($N$20=1,J29*J15,J29*M15)</f>
        <v>106229.19999999998</v>
      </c>
    </row>
    <row r="30" spans="1:18">
      <c r="F30" s="233"/>
      <c r="G30" s="11" t="str">
        <f>SD_IMM!F25</f>
        <v>SIA - Team of 1 Doctor and 1 Nurse - Full Working Day</v>
      </c>
      <c r="H30" s="11"/>
      <c r="I30" s="11"/>
      <c r="J30" s="235">
        <f>'SD-Analysis'!N109</f>
        <v>1734</v>
      </c>
      <c r="K30" s="609">
        <f>J30/$J$34</f>
        <v>0.19163820828221878</v>
      </c>
      <c r="L30" s="362"/>
      <c r="M30" s="598">
        <f>IF($N$20=1,J30*I16,J30*K16)</f>
        <v>0</v>
      </c>
      <c r="N30" s="599">
        <f>IF($N$20=1,J30*J16,J30*M16)</f>
        <v>91902</v>
      </c>
    </row>
    <row r="31" spans="1:18">
      <c r="F31" s="233"/>
      <c r="G31" s="11" t="str">
        <f>SD_IMM!F26</f>
        <v>Service Delivery - Special Immunization Activity Category 3</v>
      </c>
      <c r="H31" s="11"/>
      <c r="I31" s="11"/>
      <c r="J31" s="235">
        <f>'SD-Analysis'!O109</f>
        <v>0</v>
      </c>
      <c r="K31" s="609">
        <f>J31/$J$34</f>
        <v>0</v>
      </c>
      <c r="L31" s="362"/>
      <c r="M31" s="598">
        <f>IF($N$20=1,J31*I17,J31*K17)</f>
        <v>0</v>
      </c>
      <c r="N31" s="599">
        <f>IF($N$20=1,J31*J17,J31*M17)</f>
        <v>0</v>
      </c>
    </row>
    <row r="32" spans="1:18">
      <c r="F32" s="233"/>
      <c r="G32" s="11" t="s">
        <v>720</v>
      </c>
      <c r="H32" s="11"/>
      <c r="I32" s="11"/>
      <c r="J32" s="360">
        <f>SUM(J29:J31)</f>
        <v>4148.2999999999993</v>
      </c>
      <c r="K32" s="593">
        <f>J32/$J$34</f>
        <v>0.45846181050584084</v>
      </c>
      <c r="L32" s="351"/>
      <c r="M32" s="504">
        <f>SUM(M29:M31)</f>
        <v>0</v>
      </c>
      <c r="N32" s="600">
        <f>SUM(N29:N31)</f>
        <v>198131.19999999998</v>
      </c>
    </row>
    <row r="33" spans="1:14">
      <c r="F33" s="233"/>
      <c r="G33" s="11"/>
      <c r="H33" s="11"/>
      <c r="I33" s="11"/>
      <c r="J33" s="359"/>
      <c r="K33" s="232"/>
      <c r="M33" s="598"/>
      <c r="N33" s="599"/>
    </row>
    <row r="34" spans="1:14" ht="18.600000000000001" thickBot="1">
      <c r="F34" s="594" t="s">
        <v>723</v>
      </c>
      <c r="G34" s="219"/>
      <c r="H34" s="219"/>
      <c r="I34" s="219"/>
      <c r="J34" s="595">
        <f>J27+J32</f>
        <v>9048.2999999999993</v>
      </c>
      <c r="K34" s="596">
        <f>K27+K32</f>
        <v>1</v>
      </c>
      <c r="L34" s="351"/>
      <c r="M34" s="601">
        <f>SUM(M27,M32)</f>
        <v>0</v>
      </c>
      <c r="N34" s="602">
        <f>SUM(N27,N32)</f>
        <v>199748.19999999998</v>
      </c>
    </row>
    <row r="35" spans="1:14">
      <c r="A35" s="54"/>
      <c r="B35" s="5"/>
      <c r="C35" s="6"/>
      <c r="D35" s="394"/>
      <c r="E35" s="330"/>
      <c r="F35" s="395"/>
    </row>
    <row r="36" spans="1:14">
      <c r="A36" s="54"/>
      <c r="B36" s="5"/>
      <c r="C36" s="6"/>
      <c r="D36" s="394"/>
      <c r="E36" s="330"/>
      <c r="F36" s="395"/>
    </row>
    <row r="37" spans="1:14" ht="21.6" thickBot="1">
      <c r="F37" s="355" t="s">
        <v>847</v>
      </c>
    </row>
    <row r="38" spans="1:14">
      <c r="F38" s="607"/>
      <c r="G38" s="556"/>
      <c r="H38" s="556"/>
      <c r="I38" s="556"/>
      <c r="J38" s="572" t="s">
        <v>721</v>
      </c>
      <c r="K38" s="555" t="s">
        <v>722</v>
      </c>
      <c r="L38" s="556"/>
      <c r="M38" s="554" t="s">
        <v>848</v>
      </c>
      <c r="N38" s="555" t="s">
        <v>849</v>
      </c>
    </row>
    <row r="39" spans="1:14" ht="18">
      <c r="F39" s="573" t="s">
        <v>772</v>
      </c>
      <c r="G39" s="11"/>
      <c r="H39" s="11"/>
      <c r="I39" s="11"/>
      <c r="J39" s="11"/>
      <c r="K39" s="11"/>
      <c r="L39" s="11"/>
      <c r="M39" s="610" t="str">
        <f ca="1">OFFSET(FLU_LU!$D$77,N20,0)</f>
        <v>USD</v>
      </c>
      <c r="N39" s="611" t="str">
        <f ca="1">OFFSET(FLU_LU!$D$77,N20,0)</f>
        <v>USD</v>
      </c>
    </row>
    <row r="40" spans="1:14">
      <c r="F40" s="233"/>
      <c r="G40" s="11" t="str">
        <f>SD_IMM!F18</f>
        <v>Routine Immunization by a Facility Nurse</v>
      </c>
      <c r="H40" s="11"/>
      <c r="I40" s="11"/>
      <c r="J40" s="235">
        <f>$J$34*K40</f>
        <v>5428.98</v>
      </c>
      <c r="K40" s="120">
        <v>0.6</v>
      </c>
      <c r="L40" s="11"/>
      <c r="M40" s="598">
        <f t="shared" ref="M40:N42" si="0">IF($N$20=1,I40*I11,I40*L11)</f>
        <v>0</v>
      </c>
      <c r="N40" s="599">
        <f t="shared" si="0"/>
        <v>1791.5634</v>
      </c>
    </row>
    <row r="41" spans="1:14">
      <c r="F41" s="233"/>
      <c r="G41" s="11" t="str">
        <f>SD_IMM!F19</f>
        <v>Routine Immunization by an Home Visit Nurse</v>
      </c>
      <c r="H41" s="11"/>
      <c r="I41" s="11"/>
      <c r="J41" s="235">
        <f>$J$34*K41</f>
        <v>814.34699999999987</v>
      </c>
      <c r="K41" s="120">
        <v>0.09</v>
      </c>
      <c r="L41" s="11"/>
      <c r="M41" s="598">
        <f t="shared" si="0"/>
        <v>0</v>
      </c>
      <c r="N41" s="599">
        <f t="shared" si="0"/>
        <v>268.73450999999994</v>
      </c>
    </row>
    <row r="42" spans="1:14">
      <c r="F42" s="233"/>
      <c r="G42" s="11" t="str">
        <f>SD_IMM!F20</f>
        <v>Routine Immunization by a Satellite Outreach Nurse</v>
      </c>
      <c r="H42" s="11"/>
      <c r="I42" s="11"/>
      <c r="J42" s="235">
        <f>$J$34*K42</f>
        <v>271.44899999999996</v>
      </c>
      <c r="K42" s="120">
        <v>0.03</v>
      </c>
      <c r="L42" s="11"/>
      <c r="M42" s="605">
        <f t="shared" si="0"/>
        <v>0</v>
      </c>
      <c r="N42" s="606">
        <f t="shared" si="0"/>
        <v>89.578169999999986</v>
      </c>
    </row>
    <row r="43" spans="1:14">
      <c r="F43" s="233"/>
      <c r="G43" s="11" t="s">
        <v>719</v>
      </c>
      <c r="H43" s="11"/>
      <c r="I43" s="11"/>
      <c r="J43" s="519">
        <f>SUM(J40:J42)</f>
        <v>6514.7759999999989</v>
      </c>
      <c r="K43" s="608">
        <f>SUM(K40:K42)</f>
        <v>0.72</v>
      </c>
      <c r="L43" s="11"/>
      <c r="M43" s="603">
        <f>SUM(M40:M42)</f>
        <v>0</v>
      </c>
      <c r="N43" s="604">
        <f>SUM(N40:N42)</f>
        <v>2149.8760799999995</v>
      </c>
    </row>
    <row r="44" spans="1:14" ht="18">
      <c r="F44" s="573" t="s">
        <v>773</v>
      </c>
      <c r="G44" s="11"/>
      <c r="H44" s="11"/>
      <c r="I44" s="11"/>
      <c r="J44" s="11"/>
      <c r="K44" s="11"/>
      <c r="L44" s="11"/>
      <c r="M44" s="233"/>
      <c r="N44" s="232"/>
    </row>
    <row r="45" spans="1:14">
      <c r="F45" s="233"/>
      <c r="G45" s="11" t="str">
        <f>SD_IMM!F24</f>
        <v>SIA - Team of 2 Nurses - Full Working Day</v>
      </c>
      <c r="H45" s="11"/>
      <c r="I45" s="11"/>
      <c r="J45" s="235">
        <f>$J$34*K45</f>
        <v>2081.1089999999999</v>
      </c>
      <c r="K45" s="120">
        <v>0.23</v>
      </c>
      <c r="L45" s="11"/>
      <c r="M45" s="598">
        <f t="shared" ref="M45:N47" si="1">IF($N$20=1,I45*I15,I45*L15)</f>
        <v>0</v>
      </c>
      <c r="N45" s="599">
        <f t="shared" si="1"/>
        <v>91568.796000000002</v>
      </c>
    </row>
    <row r="46" spans="1:14">
      <c r="F46" s="233"/>
      <c r="G46" s="11" t="str">
        <f>SD_IMM!F25</f>
        <v>SIA - Team of 1 Doctor and 1 Nurse - Full Working Day</v>
      </c>
      <c r="H46" s="11"/>
      <c r="I46" s="11"/>
      <c r="J46" s="235">
        <f>$J$34*K46</f>
        <v>452.41499999999996</v>
      </c>
      <c r="K46" s="120">
        <v>0.05</v>
      </c>
      <c r="L46" s="11"/>
      <c r="M46" s="598">
        <f t="shared" si="1"/>
        <v>0</v>
      </c>
      <c r="N46" s="599">
        <f t="shared" si="1"/>
        <v>23977.994999999999</v>
      </c>
    </row>
    <row r="47" spans="1:14">
      <c r="F47" s="233"/>
      <c r="G47" s="11" t="str">
        <f>SD_IMM!F26</f>
        <v>Service Delivery - Special Immunization Activity Category 3</v>
      </c>
      <c r="H47" s="11"/>
      <c r="I47" s="11"/>
      <c r="J47" s="235">
        <f>$J$34*K47</f>
        <v>90.48299999999999</v>
      </c>
      <c r="K47" s="120">
        <v>0.01</v>
      </c>
      <c r="L47" s="11"/>
      <c r="M47" s="605">
        <f t="shared" si="1"/>
        <v>0</v>
      </c>
      <c r="N47" s="606">
        <f t="shared" si="1"/>
        <v>0</v>
      </c>
    </row>
    <row r="48" spans="1:14">
      <c r="F48" s="233"/>
      <c r="G48" s="11" t="s">
        <v>720</v>
      </c>
      <c r="H48" s="11"/>
      <c r="I48" s="11"/>
      <c r="J48" s="352">
        <f>SUM(J45:J47)</f>
        <v>2624.0070000000001</v>
      </c>
      <c r="K48" s="608">
        <f>SUM(K45:K47)</f>
        <v>0.29000000000000004</v>
      </c>
      <c r="L48" s="11"/>
      <c r="M48" s="603">
        <f>SUM(M45:M47)</f>
        <v>0</v>
      </c>
      <c r="N48" s="604">
        <f>SUM(N45:N47)</f>
        <v>115546.791</v>
      </c>
    </row>
    <row r="49" spans="1:18">
      <c r="F49" s="233"/>
      <c r="G49" s="11"/>
      <c r="H49" s="11"/>
      <c r="I49" s="11"/>
      <c r="J49" s="11"/>
      <c r="K49" s="11"/>
      <c r="L49" s="11"/>
      <c r="M49" s="598"/>
      <c r="N49" s="599"/>
    </row>
    <row r="50" spans="1:18" ht="18.600000000000001" thickBot="1">
      <c r="F50" s="594" t="s">
        <v>723</v>
      </c>
      <c r="G50" s="219"/>
      <c r="H50" s="219"/>
      <c r="I50" s="219"/>
      <c r="J50" s="595">
        <f>J34</f>
        <v>9048.2999999999993</v>
      </c>
      <c r="K50" s="596">
        <f>K43+K48</f>
        <v>1.01</v>
      </c>
      <c r="L50" s="219"/>
      <c r="M50" s="601">
        <f>SUM(M43,M48)</f>
        <v>0</v>
      </c>
      <c r="N50" s="602">
        <f>SUM(N43,N48)</f>
        <v>117696.66708</v>
      </c>
    </row>
    <row r="51" spans="1:18">
      <c r="A51" s="54"/>
      <c r="B51" s="5"/>
      <c r="C51" s="6"/>
      <c r="D51" s="394"/>
      <c r="E51" s="330"/>
      <c r="F51" s="553"/>
      <c r="K51" s="221" t="str">
        <f>IF(K50&lt;&gt;1,"WARNING!","")</f>
        <v>WARNING!</v>
      </c>
      <c r="N51" s="614">
        <f>ABS(N$34-$N$50)</f>
        <v>82051.532919999983</v>
      </c>
    </row>
    <row r="52" spans="1:18">
      <c r="A52" s="54"/>
      <c r="B52" s="5"/>
      <c r="C52" s="6"/>
      <c r="D52" s="394"/>
      <c r="E52" s="330"/>
      <c r="F52" s="553"/>
      <c r="K52" s="221" t="str">
        <f>IF(K50&lt;&gt;1,"NOT 100%!","OK!")</f>
        <v>NOT 100%!</v>
      </c>
      <c r="N52" s="612" t="str">
        <f>IF(N50&lt;N34,"LESS THAN","MORE THAN")</f>
        <v>LESS THAN</v>
      </c>
    </row>
    <row r="53" spans="1:18" ht="15" thickBot="1">
      <c r="A53" s="54"/>
      <c r="B53" s="5"/>
      <c r="C53" s="6"/>
      <c r="D53" s="394"/>
      <c r="E53" s="330"/>
      <c r="F53" s="553"/>
      <c r="N53" s="613" t="s">
        <v>851</v>
      </c>
    </row>
    <row r="54" spans="1:18">
      <c r="A54" s="54"/>
      <c r="B54" s="5"/>
      <c r="C54" s="6"/>
      <c r="D54" s="394"/>
      <c r="E54" s="330"/>
      <c r="F54" s="553"/>
    </row>
    <row r="55" spans="1:18">
      <c r="F55" s="553"/>
    </row>
    <row r="56" spans="1:18" ht="16.2" thickBot="1">
      <c r="E56" s="520" t="s">
        <v>808</v>
      </c>
    </row>
    <row r="57" spans="1:18" ht="15" thickBot="1">
      <c r="I57" s="702" t="s">
        <v>776</v>
      </c>
      <c r="J57" s="704"/>
      <c r="K57" s="704"/>
      <c r="L57" s="703"/>
      <c r="M57" s="702" t="s">
        <v>777</v>
      </c>
      <c r="N57" s="704"/>
      <c r="O57" s="704"/>
      <c r="P57" s="703"/>
      <c r="Q57" s="490"/>
      <c r="R57" s="491"/>
    </row>
    <row r="58" spans="1:18" s="267" customFormat="1" ht="72.599999999999994" thickBot="1">
      <c r="E58" s="698" t="s">
        <v>110</v>
      </c>
      <c r="F58" s="699"/>
      <c r="G58" s="699"/>
      <c r="H58" s="700"/>
      <c r="I58" s="405" t="str">
        <f>SD_IMM!F18</f>
        <v>Routine Immunization by a Facility Nurse</v>
      </c>
      <c r="J58" s="406" t="str">
        <f>SD_IMM!F19</f>
        <v>Routine Immunization by an Home Visit Nurse</v>
      </c>
      <c r="K58" s="407" t="str">
        <f>SD_IMM!F20</f>
        <v>Routine Immunization by a Satellite Outreach Nurse</v>
      </c>
      <c r="L58" s="408" t="s">
        <v>617</v>
      </c>
      <c r="M58" s="438" t="str">
        <f>SD_IMM!F24</f>
        <v>SIA - Team of 2 Nurses - Full Working Day</v>
      </c>
      <c r="N58" s="421" t="str">
        <f>SD_IMM!F25</f>
        <v>SIA - Team of 1 Doctor and 1 Nurse - Full Working Day</v>
      </c>
      <c r="O58" s="275" t="str">
        <f>SD_IMM!F26</f>
        <v>Service Delivery - Special Immunization Activity Category 3</v>
      </c>
      <c r="P58" s="276" t="s">
        <v>618</v>
      </c>
      <c r="Q58" s="492" t="s">
        <v>83</v>
      </c>
      <c r="R58" s="496"/>
    </row>
    <row r="59" spans="1:18" s="267" customFormat="1" outlineLevel="1">
      <c r="E59" s="308" t="str">
        <f>TGT_POPS!D27</f>
        <v>Target Group 1</v>
      </c>
      <c r="F59" s="309"/>
      <c r="G59" s="309"/>
      <c r="H59" s="310"/>
      <c r="I59" s="409"/>
      <c r="J59" s="410"/>
      <c r="K59" s="411"/>
      <c r="L59" s="412"/>
      <c r="M59" s="478"/>
      <c r="N59" s="422"/>
      <c r="O59" s="479"/>
      <c r="P59" s="277"/>
      <c r="Q59" s="493"/>
      <c r="R59" s="497"/>
    </row>
    <row r="60" spans="1:18" outlineLevel="2">
      <c r="E60" s="233"/>
      <c r="F60" s="11" t="str">
        <f>TGT_POPS!D28</f>
        <v>Front Line Health Workers working in facilities with more than 200 workers</v>
      </c>
      <c r="G60" s="11"/>
      <c r="H60" s="232"/>
      <c r="I60" s="413">
        <f>SD_IMM!I37</f>
        <v>0</v>
      </c>
      <c r="J60" s="414">
        <f>SD_IMM!I104</f>
        <v>0</v>
      </c>
      <c r="K60" s="413">
        <f>SD_IMM!I175</f>
        <v>0</v>
      </c>
      <c r="L60" s="415">
        <f>SUM(I60:K60)</f>
        <v>0</v>
      </c>
      <c r="M60" s="480">
        <f>SD_IMM!I242</f>
        <v>0</v>
      </c>
      <c r="N60" s="423">
        <f>SD_IMM!I307</f>
        <v>1</v>
      </c>
      <c r="O60" s="481">
        <f>SD_IMM!I373</f>
        <v>0</v>
      </c>
      <c r="P60" s="278">
        <f>SUM(M60:O60)</f>
        <v>1</v>
      </c>
      <c r="Q60" s="494">
        <f>SUM(I60:K60,M60:O60)</f>
        <v>1</v>
      </c>
      <c r="R60" s="498"/>
    </row>
    <row r="61" spans="1:18" outlineLevel="2">
      <c r="E61" s="233"/>
      <c r="F61" s="11" t="str">
        <f>TGT_POPS!D29</f>
        <v>Front Line Health Workers working in facilities with 100 to 200 workers</v>
      </c>
      <c r="G61" s="11"/>
      <c r="H61" s="232"/>
      <c r="I61" s="413">
        <f>SD_IMM!I38</f>
        <v>0</v>
      </c>
      <c r="J61" s="414">
        <f>SD_IMM!I105</f>
        <v>0</v>
      </c>
      <c r="K61" s="413">
        <f>SD_IMM!I176</f>
        <v>0</v>
      </c>
      <c r="L61" s="415">
        <f t="shared" ref="L61:L62" si="2">SUM(I61:K61)</f>
        <v>0</v>
      </c>
      <c r="M61" s="480">
        <f>SD_IMM!I243</f>
        <v>1</v>
      </c>
      <c r="N61" s="423">
        <f>SD_IMM!I308</f>
        <v>0</v>
      </c>
      <c r="O61" s="481">
        <f>SD_IMM!I374</f>
        <v>0</v>
      </c>
      <c r="P61" s="278">
        <f t="shared" ref="P61:P62" si="3">SUM(M61:O61)</f>
        <v>1</v>
      </c>
      <c r="Q61" s="494">
        <f>SUM(I61:K61,M61:O61)</f>
        <v>1</v>
      </c>
      <c r="R61" s="498"/>
    </row>
    <row r="62" spans="1:18" outlineLevel="2">
      <c r="E62" s="233"/>
      <c r="F62" s="11" t="str">
        <f>TGT_POPS!D30</f>
        <v>Front Line Health Workers working in facilities with fewer than 100 workers</v>
      </c>
      <c r="G62" s="11"/>
      <c r="H62" s="232"/>
      <c r="I62" s="413">
        <f>SD_IMM!I39</f>
        <v>1</v>
      </c>
      <c r="J62" s="414">
        <f>SD_IMM!I106</f>
        <v>0</v>
      </c>
      <c r="K62" s="413">
        <f>SD_IMM!I177</f>
        <v>0</v>
      </c>
      <c r="L62" s="415">
        <f t="shared" si="2"/>
        <v>1</v>
      </c>
      <c r="M62" s="480">
        <f>SD_IMM!I244</f>
        <v>0</v>
      </c>
      <c r="N62" s="423">
        <f>SD_IMM!I309</f>
        <v>0</v>
      </c>
      <c r="O62" s="481">
        <f>SD_IMM!I375</f>
        <v>0</v>
      </c>
      <c r="P62" s="278">
        <f t="shared" si="3"/>
        <v>0</v>
      </c>
      <c r="Q62" s="494">
        <f>SUM(I62:K62,M62:O62)</f>
        <v>1</v>
      </c>
      <c r="R62" s="498"/>
    </row>
    <row r="63" spans="1:18" outlineLevel="1">
      <c r="E63" s="233"/>
      <c r="F63" s="234" t="str">
        <f>TGT_POPS!D31</f>
        <v>All Target Group 1</v>
      </c>
      <c r="G63" s="11"/>
      <c r="H63" s="232"/>
      <c r="I63" s="416">
        <f t="shared" ref="I63:P63" si="4">I89/$Q89</f>
        <v>0.54153818949415922</v>
      </c>
      <c r="J63" s="417">
        <f t="shared" si="4"/>
        <v>0</v>
      </c>
      <c r="K63" s="416">
        <f t="shared" si="4"/>
        <v>0</v>
      </c>
      <c r="L63" s="418">
        <f t="shared" si="4"/>
        <v>0.54153818949415922</v>
      </c>
      <c r="M63" s="482">
        <f t="shared" si="4"/>
        <v>0.26682360222362211</v>
      </c>
      <c r="N63" s="424">
        <f t="shared" si="4"/>
        <v>0.19163820828221878</v>
      </c>
      <c r="O63" s="274">
        <f t="shared" si="4"/>
        <v>0</v>
      </c>
      <c r="P63" s="279">
        <f t="shared" si="4"/>
        <v>0.45846181050584084</v>
      </c>
      <c r="Q63" s="494">
        <f>SUM(I63:K63,M63:O63)</f>
        <v>1</v>
      </c>
      <c r="R63" s="499"/>
    </row>
    <row r="64" spans="1:18" outlineLevel="1">
      <c r="E64" s="231" t="str">
        <f>TGT_POPS!D33</f>
        <v>Target Group 2 [not in use]</v>
      </c>
      <c r="F64" s="11"/>
      <c r="G64" s="11"/>
      <c r="H64" s="232"/>
      <c r="I64" s="419"/>
      <c r="J64" s="414"/>
      <c r="K64" s="413"/>
      <c r="L64" s="415"/>
      <c r="M64" s="480"/>
      <c r="N64" s="423"/>
      <c r="O64" s="481"/>
      <c r="P64" s="278"/>
      <c r="Q64" s="231"/>
      <c r="R64" s="499"/>
    </row>
    <row r="65" spans="5:18" outlineLevel="2">
      <c r="E65" s="233"/>
      <c r="F65" s="11">
        <f>TGT_POPS!D34</f>
        <v>0</v>
      </c>
      <c r="G65" s="11"/>
      <c r="H65" s="232"/>
      <c r="I65" s="413">
        <f>SD_IMM!I43</f>
        <v>1</v>
      </c>
      <c r="J65" s="414">
        <f>SD_IMM!I110</f>
        <v>0</v>
      </c>
      <c r="K65" s="413">
        <f>SD_IMM!I181</f>
        <v>0</v>
      </c>
      <c r="L65" s="415">
        <f t="shared" ref="L65:L66" si="5">SUM(I65:K65)</f>
        <v>1</v>
      </c>
      <c r="M65" s="480">
        <f>SD_IMM!I248</f>
        <v>0</v>
      </c>
      <c r="N65" s="423">
        <f>SD_IMM!I313</f>
        <v>0</v>
      </c>
      <c r="O65" s="481">
        <f>SD_IMM!I379</f>
        <v>0</v>
      </c>
      <c r="P65" s="278">
        <f>SUM(M65:O65)</f>
        <v>0</v>
      </c>
      <c r="Q65" s="494">
        <f>SUM(I65:K65,M65:O65)</f>
        <v>1</v>
      </c>
      <c r="R65" s="498"/>
    </row>
    <row r="66" spans="5:18" outlineLevel="2">
      <c r="E66" s="233"/>
      <c r="F66" s="11">
        <f>TGT_POPS!D35</f>
        <v>0</v>
      </c>
      <c r="G66" s="11"/>
      <c r="H66" s="232"/>
      <c r="I66" s="413">
        <f>SD_IMM!I44</f>
        <v>0</v>
      </c>
      <c r="J66" s="414">
        <f>SD_IMM!I111</f>
        <v>0.5</v>
      </c>
      <c r="K66" s="413">
        <f>SD_IMM!I182</f>
        <v>0.5</v>
      </c>
      <c r="L66" s="415">
        <f t="shared" si="5"/>
        <v>1</v>
      </c>
      <c r="M66" s="480">
        <f>SD_IMM!I249</f>
        <v>0</v>
      </c>
      <c r="N66" s="423">
        <f>SD_IMM!I314</f>
        <v>0</v>
      </c>
      <c r="O66" s="481">
        <f>SD_IMM!I380</f>
        <v>0</v>
      </c>
      <c r="P66" s="278">
        <f t="shared" ref="P66" si="6">SUM(M66:O66)</f>
        <v>0</v>
      </c>
      <c r="Q66" s="494">
        <f>SUM(I66:K66,M66:O66)</f>
        <v>1</v>
      </c>
      <c r="R66" s="498"/>
    </row>
    <row r="67" spans="5:18" outlineLevel="1">
      <c r="E67" s="233"/>
      <c r="F67" s="234" t="str">
        <f>TGT_POPS!D36</f>
        <v>All Target Group 2 [not in use]</v>
      </c>
      <c r="G67" s="11"/>
      <c r="H67" s="232"/>
      <c r="I67" s="416" t="e">
        <f t="shared" ref="I67:P67" si="7">I94/$Q94</f>
        <v>#DIV/0!</v>
      </c>
      <c r="J67" s="417" t="e">
        <f t="shared" si="7"/>
        <v>#DIV/0!</v>
      </c>
      <c r="K67" s="416" t="e">
        <f t="shared" si="7"/>
        <v>#DIV/0!</v>
      </c>
      <c r="L67" s="418" t="e">
        <f t="shared" si="7"/>
        <v>#DIV/0!</v>
      </c>
      <c r="M67" s="482" t="e">
        <f t="shared" si="7"/>
        <v>#DIV/0!</v>
      </c>
      <c r="N67" s="424" t="e">
        <f t="shared" si="7"/>
        <v>#DIV/0!</v>
      </c>
      <c r="O67" s="274" t="e">
        <f t="shared" si="7"/>
        <v>#DIV/0!</v>
      </c>
      <c r="P67" s="279" t="e">
        <f t="shared" si="7"/>
        <v>#DIV/0!</v>
      </c>
      <c r="Q67" s="494" t="e">
        <f>SUM(I67:K67,M67:O67)</f>
        <v>#DIV/0!</v>
      </c>
      <c r="R67" s="499"/>
    </row>
    <row r="68" spans="5:18" outlineLevel="1">
      <c r="E68" s="231" t="str">
        <f>TGT_POPS!D38</f>
        <v>Target Group 3 [not in use]</v>
      </c>
      <c r="F68" s="11"/>
      <c r="G68" s="11"/>
      <c r="H68" s="232"/>
      <c r="I68" s="419"/>
      <c r="J68" s="414"/>
      <c r="K68" s="413"/>
      <c r="L68" s="415"/>
      <c r="M68" s="480"/>
      <c r="N68" s="423"/>
      <c r="O68" s="481"/>
      <c r="P68" s="278"/>
      <c r="Q68" s="231"/>
      <c r="R68" s="499"/>
    </row>
    <row r="69" spans="5:18" outlineLevel="2">
      <c r="E69" s="233"/>
      <c r="F69" s="11">
        <f>TGT_POPS!D39</f>
        <v>0</v>
      </c>
      <c r="G69" s="11"/>
      <c r="H69" s="232"/>
      <c r="I69" s="413">
        <f>SD_IMM!I48</f>
        <v>1</v>
      </c>
      <c r="J69" s="414">
        <f>SD_IMM!I115</f>
        <v>0</v>
      </c>
      <c r="K69" s="413">
        <f>SD_IMM!I186</f>
        <v>0</v>
      </c>
      <c r="L69" s="415">
        <f t="shared" ref="L69:L70" si="8">SUM(I69:K69)</f>
        <v>1</v>
      </c>
      <c r="M69" s="480">
        <f>SD_IMM!I253</f>
        <v>0</v>
      </c>
      <c r="N69" s="423">
        <f>SD_IMM!I318</f>
        <v>0</v>
      </c>
      <c r="O69" s="481">
        <f>SD_IMM!I384</f>
        <v>0</v>
      </c>
      <c r="P69" s="278">
        <f>SUM(M69:O69)</f>
        <v>0</v>
      </c>
      <c r="Q69" s="494">
        <f>SUM(I69:K69,M69:O69)</f>
        <v>1</v>
      </c>
      <c r="R69" s="498"/>
    </row>
    <row r="70" spans="5:18" outlineLevel="2">
      <c r="E70" s="233"/>
      <c r="F70" s="11">
        <f>TGT_POPS!D40</f>
        <v>0</v>
      </c>
      <c r="G70" s="11"/>
      <c r="H70" s="232"/>
      <c r="I70" s="413">
        <f>SD_IMM!I49</f>
        <v>0.8</v>
      </c>
      <c r="J70" s="414">
        <f>SD_IMM!I116</f>
        <v>0</v>
      </c>
      <c r="K70" s="413">
        <f>SD_IMM!I187</f>
        <v>0.2</v>
      </c>
      <c r="L70" s="415">
        <f t="shared" si="8"/>
        <v>1</v>
      </c>
      <c r="M70" s="480">
        <f>SD_IMM!I254</f>
        <v>0</v>
      </c>
      <c r="N70" s="423">
        <f>SD_IMM!I319</f>
        <v>0</v>
      </c>
      <c r="O70" s="481">
        <f>SD_IMM!I385</f>
        <v>0</v>
      </c>
      <c r="P70" s="278">
        <f t="shared" ref="P70" si="9">SUM(M70:O70)</f>
        <v>0</v>
      </c>
      <c r="Q70" s="494">
        <f>SUM(I70:K70,M70:O70)</f>
        <v>1</v>
      </c>
      <c r="R70" s="498"/>
    </row>
    <row r="71" spans="5:18" outlineLevel="1">
      <c r="E71" s="233"/>
      <c r="F71" s="234" t="str">
        <f>TGT_POPS!D41</f>
        <v>All Target Group 3 [not in use]</v>
      </c>
      <c r="G71" s="11"/>
      <c r="H71" s="232"/>
      <c r="I71" s="416" t="e">
        <f t="shared" ref="I71:P71" si="10">I97/$Q97</f>
        <v>#DIV/0!</v>
      </c>
      <c r="J71" s="417" t="e">
        <f t="shared" si="10"/>
        <v>#DIV/0!</v>
      </c>
      <c r="K71" s="416" t="e">
        <f t="shared" si="10"/>
        <v>#DIV/0!</v>
      </c>
      <c r="L71" s="418" t="e">
        <f t="shared" si="10"/>
        <v>#DIV/0!</v>
      </c>
      <c r="M71" s="482" t="e">
        <f t="shared" si="10"/>
        <v>#DIV/0!</v>
      </c>
      <c r="N71" s="424" t="e">
        <f t="shared" si="10"/>
        <v>#DIV/0!</v>
      </c>
      <c r="O71" s="274" t="e">
        <f t="shared" si="10"/>
        <v>#DIV/0!</v>
      </c>
      <c r="P71" s="279" t="e">
        <f t="shared" si="10"/>
        <v>#DIV/0!</v>
      </c>
      <c r="Q71" s="494" t="e">
        <f>SUM(I71:K71,M71:O71)</f>
        <v>#DIV/0!</v>
      </c>
      <c r="R71" s="499"/>
    </row>
    <row r="72" spans="5:18" outlineLevel="1">
      <c r="E72" s="231" t="str">
        <f>TGT_POPS!D43</f>
        <v>Target Group 4 [not in use]</v>
      </c>
      <c r="F72" s="11"/>
      <c r="G72" s="11"/>
      <c r="H72" s="232"/>
      <c r="I72" s="419"/>
      <c r="J72" s="414"/>
      <c r="K72" s="413"/>
      <c r="L72" s="415"/>
      <c r="M72" s="480"/>
      <c r="N72" s="423"/>
      <c r="O72" s="481"/>
      <c r="P72" s="278"/>
      <c r="Q72" s="231"/>
      <c r="R72" s="499"/>
    </row>
    <row r="73" spans="5:18" outlineLevel="2">
      <c r="E73" s="233"/>
      <c r="F73" s="11">
        <f>TGT_POPS!D44</f>
        <v>0</v>
      </c>
      <c r="G73" s="11"/>
      <c r="H73" s="232"/>
      <c r="I73" s="413">
        <f>SD_IMM!I53</f>
        <v>0.5</v>
      </c>
      <c r="J73" s="414">
        <f>SD_IMM!I120</f>
        <v>0.5</v>
      </c>
      <c r="K73" s="413">
        <f>SD_IMM!I191</f>
        <v>0</v>
      </c>
      <c r="L73" s="415">
        <f t="shared" ref="L73:L77" si="11">SUM(I73:K73)</f>
        <v>1</v>
      </c>
      <c r="M73" s="480">
        <f>SD_IMM!I258</f>
        <v>0</v>
      </c>
      <c r="N73" s="423">
        <f>SD_IMM!I323</f>
        <v>0</v>
      </c>
      <c r="O73" s="481">
        <f>SD_IMM!I389</f>
        <v>0</v>
      </c>
      <c r="P73" s="278">
        <f>SUM(M73:O73)</f>
        <v>0</v>
      </c>
      <c r="Q73" s="494">
        <f t="shared" ref="Q73:Q78" si="12">SUM(I73:K73,M73:O73)</f>
        <v>1</v>
      </c>
      <c r="R73" s="498"/>
    </row>
    <row r="74" spans="5:18" outlineLevel="2">
      <c r="E74" s="233"/>
      <c r="F74" s="11">
        <f>TGT_POPS!D45</f>
        <v>0</v>
      </c>
      <c r="G74" s="11"/>
      <c r="H74" s="232"/>
      <c r="I74" s="413">
        <f>SD_IMM!I54</f>
        <v>0.5</v>
      </c>
      <c r="J74" s="414">
        <f>SD_IMM!I121</f>
        <v>0</v>
      </c>
      <c r="K74" s="413">
        <f>SD_IMM!I192</f>
        <v>0.5</v>
      </c>
      <c r="L74" s="415">
        <f t="shared" si="11"/>
        <v>1</v>
      </c>
      <c r="M74" s="480">
        <f>SD_IMM!I259</f>
        <v>0</v>
      </c>
      <c r="N74" s="423">
        <f>SD_IMM!I324</f>
        <v>0</v>
      </c>
      <c r="O74" s="481">
        <f>SD_IMM!I390</f>
        <v>0</v>
      </c>
      <c r="P74" s="278">
        <f t="shared" ref="P74" si="13">SUM(M74:O74)</f>
        <v>0</v>
      </c>
      <c r="Q74" s="494">
        <f t="shared" si="12"/>
        <v>1</v>
      </c>
      <c r="R74" s="498"/>
    </row>
    <row r="75" spans="5:18" outlineLevel="2">
      <c r="E75" s="233"/>
      <c r="F75" s="11">
        <f>TGT_POPS!D46</f>
        <v>0</v>
      </c>
      <c r="G75" s="11"/>
      <c r="H75" s="232"/>
      <c r="I75" s="413">
        <f>SD_IMM!I55</f>
        <v>0.5</v>
      </c>
      <c r="J75" s="414">
        <f>SD_IMM!I122</f>
        <v>0</v>
      </c>
      <c r="K75" s="413">
        <f>SD_IMM!I193</f>
        <v>0.5</v>
      </c>
      <c r="L75" s="415">
        <f t="shared" si="11"/>
        <v>1</v>
      </c>
      <c r="M75" s="480">
        <f>SD_IMM!I260</f>
        <v>0</v>
      </c>
      <c r="N75" s="423">
        <f>SD_IMM!I325</f>
        <v>0</v>
      </c>
      <c r="O75" s="481">
        <f>SD_IMM!I391</f>
        <v>0</v>
      </c>
      <c r="P75" s="278">
        <f>SD_IMM!J391</f>
        <v>0</v>
      </c>
      <c r="Q75" s="494">
        <f t="shared" si="12"/>
        <v>1</v>
      </c>
      <c r="R75" s="498"/>
    </row>
    <row r="76" spans="5:18" outlineLevel="2">
      <c r="E76" s="233"/>
      <c r="F76" s="11">
        <f>TGT_POPS!D47</f>
        <v>0</v>
      </c>
      <c r="G76" s="11"/>
      <c r="H76" s="232"/>
      <c r="I76" s="413">
        <f>SD_IMM!I56</f>
        <v>0.5</v>
      </c>
      <c r="J76" s="414">
        <f>SD_IMM!I123</f>
        <v>0</v>
      </c>
      <c r="K76" s="413">
        <f>SD_IMM!I194</f>
        <v>0.5</v>
      </c>
      <c r="L76" s="415">
        <f t="shared" si="11"/>
        <v>1</v>
      </c>
      <c r="M76" s="480">
        <f>SD_IMM!I261</f>
        <v>0</v>
      </c>
      <c r="N76" s="423">
        <f>SD_IMM!I326</f>
        <v>0</v>
      </c>
      <c r="O76" s="481">
        <f>SD_IMM!I392</f>
        <v>0</v>
      </c>
      <c r="P76" s="278">
        <f>SD_IMM!J392</f>
        <v>0</v>
      </c>
      <c r="Q76" s="494">
        <f t="shared" si="12"/>
        <v>1</v>
      </c>
      <c r="R76" s="498"/>
    </row>
    <row r="77" spans="5:18" outlineLevel="2">
      <c r="E77" s="233"/>
      <c r="F77" s="11">
        <f>TGT_POPS!D48</f>
        <v>0</v>
      </c>
      <c r="G77" s="11"/>
      <c r="H77" s="232"/>
      <c r="I77" s="413">
        <f>SD_IMM!I57</f>
        <v>1</v>
      </c>
      <c r="J77" s="414">
        <f>SD_IMM!I124</f>
        <v>0</v>
      </c>
      <c r="K77" s="413">
        <f>SD_IMM!I195</f>
        <v>0</v>
      </c>
      <c r="L77" s="415">
        <f t="shared" si="11"/>
        <v>1</v>
      </c>
      <c r="M77" s="480">
        <f>SD_IMM!I262</f>
        <v>0</v>
      </c>
      <c r="N77" s="423">
        <f>SD_IMM!I327</f>
        <v>0</v>
      </c>
      <c r="O77" s="481">
        <f>SD_IMM!I393</f>
        <v>0</v>
      </c>
      <c r="P77" s="278">
        <f>SD_IMM!J393</f>
        <v>0</v>
      </c>
      <c r="Q77" s="494">
        <f t="shared" si="12"/>
        <v>1</v>
      </c>
      <c r="R77" s="498"/>
    </row>
    <row r="78" spans="5:18" outlineLevel="1">
      <c r="E78" s="233"/>
      <c r="F78" s="234" t="str">
        <f>TGT_POPS!D49</f>
        <v>All Target Group 4 [not in use]</v>
      </c>
      <c r="G78" s="11"/>
      <c r="H78" s="232"/>
      <c r="I78" s="416" t="e">
        <f t="shared" ref="I78:P78" si="14">I107/$Q107</f>
        <v>#DIV/0!</v>
      </c>
      <c r="J78" s="417" t="e">
        <f t="shared" si="14"/>
        <v>#DIV/0!</v>
      </c>
      <c r="K78" s="416" t="e">
        <f t="shared" si="14"/>
        <v>#DIV/0!</v>
      </c>
      <c r="L78" s="418" t="e">
        <f t="shared" si="14"/>
        <v>#DIV/0!</v>
      </c>
      <c r="M78" s="482" t="e">
        <f t="shared" si="14"/>
        <v>#DIV/0!</v>
      </c>
      <c r="N78" s="424" t="e">
        <f t="shared" si="14"/>
        <v>#DIV/0!</v>
      </c>
      <c r="O78" s="274" t="e">
        <f t="shared" si="14"/>
        <v>#DIV/0!</v>
      </c>
      <c r="P78" s="279" t="e">
        <f t="shared" si="14"/>
        <v>#DIV/0!</v>
      </c>
      <c r="Q78" s="494" t="e">
        <f t="shared" si="12"/>
        <v>#DIV/0!</v>
      </c>
      <c r="R78" s="491"/>
    </row>
    <row r="79" spans="5:18" outlineLevel="1">
      <c r="E79" s="233"/>
      <c r="F79" s="234"/>
      <c r="G79" s="11"/>
      <c r="H79" s="232"/>
      <c r="I79" s="416"/>
      <c r="J79" s="417"/>
      <c r="K79" s="416"/>
      <c r="L79" s="420"/>
      <c r="M79" s="482"/>
      <c r="N79" s="424"/>
      <c r="O79" s="274"/>
      <c r="P79" s="279"/>
      <c r="Q79" s="233"/>
      <c r="R79" s="491"/>
    </row>
    <row r="80" spans="5:18" ht="15" thickBot="1">
      <c r="E80" s="237"/>
      <c r="F80" s="552" t="str">
        <f>TGT_POPS!D51</f>
        <v>Total Target_Populations</v>
      </c>
      <c r="G80" s="219"/>
      <c r="H80" s="239"/>
      <c r="I80" s="402">
        <f t="shared" ref="I80:P80" si="15">I109/$Q109</f>
        <v>0.54153818949415922</v>
      </c>
      <c r="J80" s="403">
        <f t="shared" si="15"/>
        <v>0</v>
      </c>
      <c r="K80" s="402">
        <f t="shared" si="15"/>
        <v>0</v>
      </c>
      <c r="L80" s="404">
        <f t="shared" si="15"/>
        <v>0.54153818949415922</v>
      </c>
      <c r="M80" s="483">
        <f t="shared" si="15"/>
        <v>0.26682360222362211</v>
      </c>
      <c r="N80" s="484">
        <f t="shared" si="15"/>
        <v>0.19163820828221878</v>
      </c>
      <c r="O80" s="485">
        <f t="shared" si="15"/>
        <v>0</v>
      </c>
      <c r="P80" s="404">
        <f t="shared" si="15"/>
        <v>0.45846181050584084</v>
      </c>
      <c r="Q80" s="495">
        <f>SUM(I80:K80,M80:O80)</f>
        <v>1</v>
      </c>
      <c r="R80" s="500"/>
    </row>
    <row r="81" spans="5:18">
      <c r="E81" s="234"/>
      <c r="F81" s="11"/>
      <c r="G81" s="11"/>
      <c r="H81" s="11"/>
      <c r="R81" s="272"/>
    </row>
    <row r="82" spans="5:18" ht="16.2" thickBot="1">
      <c r="E82" s="520" t="s">
        <v>809</v>
      </c>
    </row>
    <row r="83" spans="5:18" ht="15" thickBot="1">
      <c r="I83" s="702" t="s">
        <v>776</v>
      </c>
      <c r="J83" s="704"/>
      <c r="K83" s="704"/>
      <c r="L83" s="703"/>
      <c r="M83" s="702" t="s">
        <v>777</v>
      </c>
      <c r="N83" s="704"/>
      <c r="O83" s="704"/>
      <c r="P83" s="703"/>
      <c r="Q83" s="473"/>
      <c r="R83" s="491"/>
    </row>
    <row r="84" spans="5:18" ht="72.599999999999994" thickBot="1">
      <c r="E84" s="698" t="s">
        <v>110</v>
      </c>
      <c r="F84" s="699"/>
      <c r="G84" s="699"/>
      <c r="H84" s="700"/>
      <c r="I84" s="305" t="str">
        <f>SD_IMM!F18</f>
        <v>Routine Immunization by a Facility Nurse</v>
      </c>
      <c r="J84" s="425" t="str">
        <f>SD_IMM!F19</f>
        <v>Routine Immunization by an Home Visit Nurse</v>
      </c>
      <c r="K84" s="306" t="str">
        <f>SD_IMM!F20</f>
        <v>Routine Immunization by a Satellite Outreach Nurse</v>
      </c>
      <c r="L84" s="307" t="s">
        <v>617</v>
      </c>
      <c r="M84" s="523" t="str">
        <f>SD_IMM!F24</f>
        <v>SIA - Team of 2 Nurses - Full Working Day</v>
      </c>
      <c r="N84" s="524" t="str">
        <f>SD_IMM!F25</f>
        <v>SIA - Team of 1 Doctor and 1 Nurse - Full Working Day</v>
      </c>
      <c r="O84" s="525" t="str">
        <f>SD_IMM!F26</f>
        <v>Service Delivery - Special Immunization Activity Category 3</v>
      </c>
      <c r="P84" s="276" t="s">
        <v>618</v>
      </c>
      <c r="Q84" s="280" t="s">
        <v>83</v>
      </c>
      <c r="R84" s="496"/>
    </row>
    <row r="85" spans="5:18" outlineLevel="1">
      <c r="E85" s="308" t="str">
        <f>TGT_POPS!D27</f>
        <v>Target Group 1</v>
      </c>
      <c r="F85" s="309"/>
      <c r="G85" s="309"/>
      <c r="H85" s="266"/>
      <c r="I85" s="295"/>
      <c r="J85" s="426"/>
      <c r="K85" s="296"/>
      <c r="L85" s="285"/>
      <c r="M85" s="439"/>
      <c r="N85" s="430"/>
      <c r="O85" s="297"/>
      <c r="P85" s="289"/>
      <c r="Q85" s="281"/>
      <c r="R85" s="497"/>
    </row>
    <row r="86" spans="5:18" outlineLevel="2">
      <c r="E86" s="233"/>
      <c r="F86" s="11" t="str">
        <f>TGT_POPS!D28</f>
        <v>Front Line Health Workers working in facilities with more than 200 workers</v>
      </c>
      <c r="G86" s="11"/>
      <c r="H86" s="232"/>
      <c r="I86" s="298">
        <f>SD_IMM!J37</f>
        <v>0</v>
      </c>
      <c r="J86" s="427">
        <f>SD_IMM!J104</f>
        <v>0</v>
      </c>
      <c r="K86" s="299">
        <f>SD_IMM!J175</f>
        <v>0</v>
      </c>
      <c r="L86" s="286">
        <f>SUM(I86:K86)</f>
        <v>0</v>
      </c>
      <c r="M86" s="440">
        <f>SD_IMM!J242</f>
        <v>0</v>
      </c>
      <c r="N86" s="431">
        <f>SD_IMM!J307</f>
        <v>1734</v>
      </c>
      <c r="O86" s="300">
        <f>SD_IMM!J373</f>
        <v>0</v>
      </c>
      <c r="P86" s="290">
        <f>SUM(M86:O86)</f>
        <v>1734</v>
      </c>
      <c r="Q86" s="293">
        <f>SUM(I86:K86,M86:O86)</f>
        <v>1734</v>
      </c>
      <c r="R86" s="498"/>
    </row>
    <row r="87" spans="5:18" outlineLevel="2">
      <c r="E87" s="233"/>
      <c r="F87" s="11" t="str">
        <f>TGT_POPS!D29</f>
        <v>Front Line Health Workers working in facilities with 100 to 200 workers</v>
      </c>
      <c r="G87" s="11"/>
      <c r="H87" s="232"/>
      <c r="I87" s="298">
        <f>SD_IMM!J38</f>
        <v>0</v>
      </c>
      <c r="J87" s="427">
        <f>SD_IMM!J105</f>
        <v>0</v>
      </c>
      <c r="K87" s="299">
        <f>SD_IMM!J176</f>
        <v>0</v>
      </c>
      <c r="L87" s="286">
        <f t="shared" ref="L87:L88" si="16">SUM(I87:K87)</f>
        <v>0</v>
      </c>
      <c r="M87" s="440">
        <f>SD_IMM!J243</f>
        <v>2414.2999999999997</v>
      </c>
      <c r="N87" s="431">
        <f>SD_IMM!J308</f>
        <v>0</v>
      </c>
      <c r="O87" s="300">
        <f>SD_IMM!J374</f>
        <v>0</v>
      </c>
      <c r="P87" s="290">
        <f t="shared" ref="P87:P88" si="17">SUM(M87:O87)</f>
        <v>2414.2999999999997</v>
      </c>
      <c r="Q87" s="293">
        <f>SUM(I87:K87,M87:O87)</f>
        <v>2414.2999999999997</v>
      </c>
      <c r="R87" s="498"/>
    </row>
    <row r="88" spans="5:18" outlineLevel="2">
      <c r="E88" s="233"/>
      <c r="F88" s="11" t="str">
        <f>TGT_POPS!D30</f>
        <v>Front Line Health Workers working in facilities with fewer than 100 workers</v>
      </c>
      <c r="G88" s="11"/>
      <c r="H88" s="232"/>
      <c r="I88" s="298">
        <f>SD_IMM!J39</f>
        <v>4900</v>
      </c>
      <c r="J88" s="427">
        <f>SD_IMM!J106</f>
        <v>0</v>
      </c>
      <c r="K88" s="299">
        <f>SD_IMM!J177</f>
        <v>0</v>
      </c>
      <c r="L88" s="286">
        <f t="shared" si="16"/>
        <v>4900</v>
      </c>
      <c r="M88" s="440">
        <f>SD_IMM!J244</f>
        <v>0</v>
      </c>
      <c r="N88" s="431">
        <f>SD_IMM!J309</f>
        <v>0</v>
      </c>
      <c r="O88" s="300">
        <f>SD_IMM!J375</f>
        <v>0</v>
      </c>
      <c r="P88" s="290">
        <f t="shared" si="17"/>
        <v>0</v>
      </c>
      <c r="Q88" s="293">
        <f>SUM(I88:K88,M88:O88)</f>
        <v>4900</v>
      </c>
      <c r="R88" s="498"/>
    </row>
    <row r="89" spans="5:18" outlineLevel="1">
      <c r="E89" s="231" t="str">
        <f>TGT_POPS!D31</f>
        <v>All Target Group 1</v>
      </c>
      <c r="F89" s="11"/>
      <c r="G89" s="11"/>
      <c r="H89" s="232"/>
      <c r="I89" s="301">
        <f t="shared" ref="I89:P89" si="18">SUM(I86:I88)</f>
        <v>4900</v>
      </c>
      <c r="J89" s="428">
        <f t="shared" si="18"/>
        <v>0</v>
      </c>
      <c r="K89" s="283">
        <f t="shared" si="18"/>
        <v>0</v>
      </c>
      <c r="L89" s="287">
        <f t="shared" si="18"/>
        <v>4900</v>
      </c>
      <c r="M89" s="441">
        <f t="shared" si="18"/>
        <v>2414.2999999999997</v>
      </c>
      <c r="N89" s="432">
        <f t="shared" si="18"/>
        <v>1734</v>
      </c>
      <c r="O89" s="284">
        <f t="shared" si="18"/>
        <v>0</v>
      </c>
      <c r="P89" s="291">
        <f t="shared" si="18"/>
        <v>4148.2999999999993</v>
      </c>
      <c r="Q89" s="294">
        <f>SUM(I89:K89,M89:O89)</f>
        <v>9048.2999999999993</v>
      </c>
      <c r="R89" s="499"/>
    </row>
    <row r="90" spans="5:18" outlineLevel="1">
      <c r="E90" s="233"/>
      <c r="F90" s="11"/>
      <c r="G90" s="11"/>
      <c r="H90" s="232"/>
      <c r="I90" s="295"/>
      <c r="J90" s="426"/>
      <c r="K90" s="296"/>
      <c r="L90" s="285"/>
      <c r="M90" s="439"/>
      <c r="N90" s="430"/>
      <c r="O90" s="297"/>
      <c r="P90" s="289"/>
      <c r="Q90" s="281"/>
      <c r="R90" s="499"/>
    </row>
    <row r="91" spans="5:18" outlineLevel="1">
      <c r="E91" s="231" t="str">
        <f>TGT_POPS!D33</f>
        <v>Target Group 2 [not in use]</v>
      </c>
      <c r="F91" s="11"/>
      <c r="G91" s="11"/>
      <c r="H91" s="232"/>
      <c r="I91" s="295"/>
      <c r="J91" s="426"/>
      <c r="K91" s="296"/>
      <c r="L91" s="285"/>
      <c r="M91" s="439"/>
      <c r="N91" s="430"/>
      <c r="O91" s="297"/>
      <c r="P91" s="289"/>
      <c r="Q91" s="281"/>
      <c r="R91" s="498"/>
    </row>
    <row r="92" spans="5:18" outlineLevel="2">
      <c r="E92" s="233"/>
      <c r="F92" s="11">
        <f>TGT_POPS!D34</f>
        <v>0</v>
      </c>
      <c r="G92" s="11"/>
      <c r="H92" s="232"/>
      <c r="I92" s="298">
        <f>SD_IMM!J43</f>
        <v>0</v>
      </c>
      <c r="J92" s="427">
        <f>SD_IMM!J110</f>
        <v>0</v>
      </c>
      <c r="K92" s="299">
        <f>SD_IMM!J181</f>
        <v>0</v>
      </c>
      <c r="L92" s="286">
        <f>SUM(I92:K92)</f>
        <v>0</v>
      </c>
      <c r="M92" s="440">
        <f>SD_IMM!J248</f>
        <v>0</v>
      </c>
      <c r="N92" s="431">
        <f>SD_IMM!J313</f>
        <v>0</v>
      </c>
      <c r="O92" s="300">
        <f>SD_IMM!J379</f>
        <v>0</v>
      </c>
      <c r="P92" s="290">
        <f>SUM(M92:O92)</f>
        <v>0</v>
      </c>
      <c r="Q92" s="293">
        <f>SUM(I92:K92,M92:O92)</f>
        <v>0</v>
      </c>
      <c r="R92" s="498"/>
    </row>
    <row r="93" spans="5:18" outlineLevel="2">
      <c r="E93" s="233"/>
      <c r="F93" s="11">
        <f>TGT_POPS!D35</f>
        <v>0</v>
      </c>
      <c r="G93" s="11"/>
      <c r="H93" s="232"/>
      <c r="I93" s="298">
        <f>SD_IMM!J44</f>
        <v>0</v>
      </c>
      <c r="J93" s="427">
        <f>SD_IMM!J111</f>
        <v>0</v>
      </c>
      <c r="K93" s="299">
        <f>SD_IMM!J182</f>
        <v>0</v>
      </c>
      <c r="L93" s="286">
        <f t="shared" ref="L93" si="19">SUM(I93:K93)</f>
        <v>0</v>
      </c>
      <c r="M93" s="440">
        <f>SD_IMM!J249</f>
        <v>0</v>
      </c>
      <c r="N93" s="431">
        <f>SD_IMM!J314</f>
        <v>0</v>
      </c>
      <c r="O93" s="300">
        <f>SD_IMM!J380</f>
        <v>0</v>
      </c>
      <c r="P93" s="290">
        <f t="shared" ref="P93" si="20">SUM(M93:O93)</f>
        <v>0</v>
      </c>
      <c r="Q93" s="293">
        <f>SUM(I93:K93,M93:O93)</f>
        <v>0</v>
      </c>
      <c r="R93" s="499"/>
    </row>
    <row r="94" spans="5:18" outlineLevel="1">
      <c r="E94" s="231" t="str">
        <f>TGT_POPS!D36</f>
        <v>All Target Group 2 [not in use]</v>
      </c>
      <c r="F94" s="11"/>
      <c r="G94" s="11"/>
      <c r="H94" s="232"/>
      <c r="I94" s="301">
        <f t="shared" ref="I94:P94" si="21">SUM(I92:I93)</f>
        <v>0</v>
      </c>
      <c r="J94" s="428">
        <f t="shared" si="21"/>
        <v>0</v>
      </c>
      <c r="K94" s="283">
        <f t="shared" si="21"/>
        <v>0</v>
      </c>
      <c r="L94" s="287">
        <f t="shared" si="21"/>
        <v>0</v>
      </c>
      <c r="M94" s="441">
        <f t="shared" si="21"/>
        <v>0</v>
      </c>
      <c r="N94" s="432">
        <f t="shared" si="21"/>
        <v>0</v>
      </c>
      <c r="O94" s="284">
        <f t="shared" si="21"/>
        <v>0</v>
      </c>
      <c r="P94" s="291">
        <f t="shared" si="21"/>
        <v>0</v>
      </c>
      <c r="Q94" s="294">
        <f>SUM(I94:K94,M94:O94)</f>
        <v>0</v>
      </c>
      <c r="R94" s="499"/>
    </row>
    <row r="95" spans="5:18" outlineLevel="1">
      <c r="E95" s="233"/>
      <c r="F95" s="11"/>
      <c r="G95" s="11"/>
      <c r="H95" s="232"/>
      <c r="I95" s="295"/>
      <c r="J95" s="426"/>
      <c r="K95" s="296"/>
      <c r="L95" s="285"/>
      <c r="M95" s="439"/>
      <c r="N95" s="430"/>
      <c r="O95" s="297"/>
      <c r="P95" s="289"/>
      <c r="Q95" s="281"/>
      <c r="R95" s="498"/>
    </row>
    <row r="96" spans="5:18" outlineLevel="1">
      <c r="E96" s="231" t="str">
        <f>TGT_POPS!D38</f>
        <v>Target Group 3 [not in use]</v>
      </c>
      <c r="F96" s="11"/>
      <c r="G96" s="11"/>
      <c r="H96" s="232"/>
      <c r="I96" s="295"/>
      <c r="J96" s="426"/>
      <c r="K96" s="296"/>
      <c r="L96" s="285"/>
      <c r="M96" s="439"/>
      <c r="N96" s="430"/>
      <c r="O96" s="297"/>
      <c r="P96" s="289"/>
      <c r="Q96" s="281"/>
      <c r="R96" s="498"/>
    </row>
    <row r="97" spans="5:18" outlineLevel="2">
      <c r="E97" s="233"/>
      <c r="F97" s="11">
        <f>TGT_POPS!D39</f>
        <v>0</v>
      </c>
      <c r="G97" s="11"/>
      <c r="H97" s="232"/>
      <c r="I97" s="298">
        <f>SD_IMM!J48</f>
        <v>0</v>
      </c>
      <c r="J97" s="427">
        <f>SD_IMM!J115</f>
        <v>0</v>
      </c>
      <c r="K97" s="299">
        <f>SD_IMM!J186</f>
        <v>0</v>
      </c>
      <c r="L97" s="286">
        <f>SUM(I97:K97)</f>
        <v>0</v>
      </c>
      <c r="M97" s="440">
        <f>SD_IMM!J253</f>
        <v>0</v>
      </c>
      <c r="N97" s="431">
        <f>SD_IMM!J318</f>
        <v>0</v>
      </c>
      <c r="O97" s="300">
        <f>SD_IMM!J384</f>
        <v>0</v>
      </c>
      <c r="P97" s="290">
        <f>SUM(M97:O97)</f>
        <v>0</v>
      </c>
      <c r="Q97" s="293">
        <f>SUM(I97:K97,M97:O97)</f>
        <v>0</v>
      </c>
      <c r="R97" s="499"/>
    </row>
    <row r="98" spans="5:18" outlineLevel="2">
      <c r="E98" s="233"/>
      <c r="F98" s="11">
        <f>TGT_POPS!D40</f>
        <v>0</v>
      </c>
      <c r="G98" s="11"/>
      <c r="H98" s="232"/>
      <c r="I98" s="298">
        <f>SD_IMM!J49</f>
        <v>0</v>
      </c>
      <c r="J98" s="427">
        <f>SD_IMM!J116</f>
        <v>0</v>
      </c>
      <c r="K98" s="299">
        <f>SD_IMM!J187</f>
        <v>0</v>
      </c>
      <c r="L98" s="286">
        <f t="shared" ref="L98" si="22">SUM(I98:K98)</f>
        <v>0</v>
      </c>
      <c r="M98" s="440">
        <f>SD_IMM!J254</f>
        <v>0</v>
      </c>
      <c r="N98" s="431">
        <f>SD_IMM!J319</f>
        <v>0</v>
      </c>
      <c r="O98" s="300">
        <f>SD_IMM!J385</f>
        <v>0</v>
      </c>
      <c r="P98" s="290">
        <f t="shared" ref="P98" si="23">SUM(M98:O98)</f>
        <v>0</v>
      </c>
      <c r="Q98" s="293">
        <f>SUM(I98:K98,M98:O98)</f>
        <v>0</v>
      </c>
      <c r="R98" s="499"/>
    </row>
    <row r="99" spans="5:18" outlineLevel="1">
      <c r="E99" s="231" t="str">
        <f>TGT_POPS!D41</f>
        <v>All Target Group 3 [not in use]</v>
      </c>
      <c r="F99" s="11"/>
      <c r="G99" s="11"/>
      <c r="H99" s="232"/>
      <c r="I99" s="301">
        <f t="shared" ref="I99:P99" si="24">SUM(I97:I98)</f>
        <v>0</v>
      </c>
      <c r="J99" s="428">
        <f t="shared" si="24"/>
        <v>0</v>
      </c>
      <c r="K99" s="283">
        <f t="shared" si="24"/>
        <v>0</v>
      </c>
      <c r="L99" s="287">
        <f t="shared" si="24"/>
        <v>0</v>
      </c>
      <c r="M99" s="441">
        <f t="shared" si="24"/>
        <v>0</v>
      </c>
      <c r="N99" s="432">
        <f t="shared" si="24"/>
        <v>0</v>
      </c>
      <c r="O99" s="284">
        <f t="shared" si="24"/>
        <v>0</v>
      </c>
      <c r="P99" s="291">
        <f t="shared" si="24"/>
        <v>0</v>
      </c>
      <c r="Q99" s="294">
        <f>SUM(I99:K99,M99:O99)</f>
        <v>0</v>
      </c>
      <c r="R99" s="498"/>
    </row>
    <row r="100" spans="5:18" outlineLevel="1">
      <c r="E100" s="233"/>
      <c r="F100" s="11"/>
      <c r="G100" s="11"/>
      <c r="H100" s="232"/>
      <c r="I100" s="295"/>
      <c r="J100" s="426"/>
      <c r="K100" s="296"/>
      <c r="L100" s="285"/>
      <c r="M100" s="439"/>
      <c r="N100" s="430"/>
      <c r="O100" s="297"/>
      <c r="P100" s="289"/>
      <c r="Q100" s="281"/>
      <c r="R100" s="498"/>
    </row>
    <row r="101" spans="5:18" outlineLevel="1">
      <c r="E101" s="231" t="str">
        <f>TGT_POPS!D43</f>
        <v>Target Group 4 [not in use]</v>
      </c>
      <c r="F101" s="11"/>
      <c r="G101" s="11"/>
      <c r="H101" s="232"/>
      <c r="I101" s="295"/>
      <c r="J101" s="426"/>
      <c r="K101" s="296"/>
      <c r="L101" s="285"/>
      <c r="M101" s="439"/>
      <c r="N101" s="430"/>
      <c r="O101" s="297"/>
      <c r="P101" s="289"/>
      <c r="Q101" s="281"/>
      <c r="R101" s="498"/>
    </row>
    <row r="102" spans="5:18" outlineLevel="2">
      <c r="E102" s="233"/>
      <c r="F102" s="11">
        <f>TGT_POPS!D44</f>
        <v>0</v>
      </c>
      <c r="G102" s="11"/>
      <c r="H102" s="232"/>
      <c r="I102" s="298">
        <f>SD_IMM!J53</f>
        <v>0</v>
      </c>
      <c r="J102" s="427">
        <f>SD_IMM!J120</f>
        <v>0</v>
      </c>
      <c r="K102" s="299">
        <f>SD_IMM!J191</f>
        <v>0</v>
      </c>
      <c r="L102" s="286">
        <f>SUM(I102:K102)</f>
        <v>0</v>
      </c>
      <c r="M102" s="440">
        <f>SD_IMM!J258</f>
        <v>0</v>
      </c>
      <c r="N102" s="431">
        <f>SD_IMM!J323</f>
        <v>0</v>
      </c>
      <c r="O102" s="300">
        <f>SD_IMM!J389</f>
        <v>0</v>
      </c>
      <c r="P102" s="290">
        <f>SUM(M102:O102)</f>
        <v>0</v>
      </c>
      <c r="Q102" s="293">
        <f t="shared" ref="Q102:Q106" si="25">SUM(I102:K102,M102:O102)</f>
        <v>0</v>
      </c>
      <c r="R102" s="498"/>
    </row>
    <row r="103" spans="5:18" outlineLevel="2">
      <c r="E103" s="233"/>
      <c r="F103" s="11">
        <f>TGT_POPS!D45</f>
        <v>0</v>
      </c>
      <c r="G103" s="11"/>
      <c r="H103" s="232"/>
      <c r="I103" s="298">
        <f>SD_IMM!J54</f>
        <v>0</v>
      </c>
      <c r="J103" s="427">
        <f>SD_IMM!J121</f>
        <v>0</v>
      </c>
      <c r="K103" s="299">
        <f>SD_IMM!J192</f>
        <v>0</v>
      </c>
      <c r="L103" s="286">
        <f t="shared" ref="L103:L106" si="26">SUM(I103:K103)</f>
        <v>0</v>
      </c>
      <c r="M103" s="440">
        <f>SD_IMM!J259</f>
        <v>0</v>
      </c>
      <c r="N103" s="431">
        <f>SD_IMM!J324</f>
        <v>0</v>
      </c>
      <c r="O103" s="300">
        <f>SD_IMM!J390</f>
        <v>0</v>
      </c>
      <c r="P103" s="290">
        <f t="shared" ref="P103:P106" si="27">SUM(M103:O103)</f>
        <v>0</v>
      </c>
      <c r="Q103" s="293">
        <f t="shared" si="25"/>
        <v>0</v>
      </c>
      <c r="R103" s="498"/>
    </row>
    <row r="104" spans="5:18" outlineLevel="2">
      <c r="E104" s="233"/>
      <c r="F104" s="11">
        <f>TGT_POPS!D46</f>
        <v>0</v>
      </c>
      <c r="G104" s="11"/>
      <c r="H104" s="232"/>
      <c r="I104" s="298">
        <f>SD_IMM!J55</f>
        <v>0</v>
      </c>
      <c r="J104" s="427">
        <f>SD_IMM!J122</f>
        <v>0</v>
      </c>
      <c r="K104" s="299">
        <f>SD_IMM!J193</f>
        <v>0</v>
      </c>
      <c r="L104" s="286">
        <f t="shared" si="26"/>
        <v>0</v>
      </c>
      <c r="M104" s="440">
        <f>SD_IMM!J260</f>
        <v>0</v>
      </c>
      <c r="N104" s="431">
        <f>SD_IMM!J325</f>
        <v>0</v>
      </c>
      <c r="O104" s="300">
        <f>SD_IMM!J391</f>
        <v>0</v>
      </c>
      <c r="P104" s="290">
        <f t="shared" si="27"/>
        <v>0</v>
      </c>
      <c r="Q104" s="293">
        <f t="shared" si="25"/>
        <v>0</v>
      </c>
      <c r="R104" s="491"/>
    </row>
    <row r="105" spans="5:18" outlineLevel="2">
      <c r="E105" s="233"/>
      <c r="F105" s="11">
        <f>TGT_POPS!D47</f>
        <v>0</v>
      </c>
      <c r="G105" s="11"/>
      <c r="H105" s="232"/>
      <c r="I105" s="298">
        <f>SD_IMM!J56</f>
        <v>0</v>
      </c>
      <c r="J105" s="427">
        <f>SD_IMM!J123</f>
        <v>0</v>
      </c>
      <c r="K105" s="299">
        <f>SD_IMM!J194</f>
        <v>0</v>
      </c>
      <c r="L105" s="286">
        <f t="shared" si="26"/>
        <v>0</v>
      </c>
      <c r="M105" s="440">
        <f>SD_IMM!J261</f>
        <v>0</v>
      </c>
      <c r="N105" s="431">
        <f>SD_IMM!J326</f>
        <v>0</v>
      </c>
      <c r="O105" s="300">
        <f>SD_IMM!J392</f>
        <v>0</v>
      </c>
      <c r="P105" s="290">
        <f t="shared" si="27"/>
        <v>0</v>
      </c>
      <c r="Q105" s="293">
        <f t="shared" si="25"/>
        <v>0</v>
      </c>
      <c r="R105" s="491"/>
    </row>
    <row r="106" spans="5:18" outlineLevel="2">
      <c r="E106" s="233"/>
      <c r="F106" s="11">
        <f>TGT_POPS!D48</f>
        <v>0</v>
      </c>
      <c r="G106" s="11"/>
      <c r="H106" s="232"/>
      <c r="I106" s="298">
        <f>SD_IMM!J57</f>
        <v>0</v>
      </c>
      <c r="J106" s="427">
        <f>SD_IMM!J124</f>
        <v>0</v>
      </c>
      <c r="K106" s="299">
        <f>SD_IMM!J195</f>
        <v>0</v>
      </c>
      <c r="L106" s="286">
        <f t="shared" si="26"/>
        <v>0</v>
      </c>
      <c r="M106" s="440">
        <f>SD_IMM!J262</f>
        <v>0</v>
      </c>
      <c r="N106" s="431">
        <f>SD_IMM!J327</f>
        <v>0</v>
      </c>
      <c r="O106" s="300">
        <f>SD_IMM!J393</f>
        <v>0</v>
      </c>
      <c r="P106" s="290">
        <f t="shared" si="27"/>
        <v>0</v>
      </c>
      <c r="Q106" s="293">
        <f t="shared" si="25"/>
        <v>0</v>
      </c>
      <c r="R106" s="500"/>
    </row>
    <row r="107" spans="5:18" outlineLevel="1">
      <c r="E107" s="231" t="str">
        <f>TGT_POPS!D49</f>
        <v>All Target Group 4 [not in use]</v>
      </c>
      <c r="F107" s="11"/>
      <c r="G107" s="11"/>
      <c r="H107" s="232"/>
      <c r="I107" s="301">
        <f t="shared" ref="I107:P107" si="28">SUM(I102:I106)</f>
        <v>0</v>
      </c>
      <c r="J107" s="428">
        <f t="shared" si="28"/>
        <v>0</v>
      </c>
      <c r="K107" s="283">
        <f t="shared" si="28"/>
        <v>0</v>
      </c>
      <c r="L107" s="287">
        <f t="shared" si="28"/>
        <v>0</v>
      </c>
      <c r="M107" s="441">
        <f t="shared" si="28"/>
        <v>0</v>
      </c>
      <c r="N107" s="432">
        <f t="shared" si="28"/>
        <v>0</v>
      </c>
      <c r="O107" s="284">
        <f t="shared" si="28"/>
        <v>0</v>
      </c>
      <c r="P107" s="291">
        <f t="shared" si="28"/>
        <v>0</v>
      </c>
      <c r="Q107" s="294">
        <f>SUM(I107:K107,M107:O107)</f>
        <v>0</v>
      </c>
      <c r="R107" s="273"/>
    </row>
    <row r="108" spans="5:18" ht="15" outlineLevel="1" thickBot="1">
      <c r="E108" s="233"/>
      <c r="F108" s="11"/>
      <c r="G108" s="11"/>
      <c r="H108" s="232"/>
      <c r="I108" s="295"/>
      <c r="J108" s="426"/>
      <c r="K108" s="296"/>
      <c r="L108" s="285"/>
      <c r="M108" s="439"/>
      <c r="N108" s="430"/>
      <c r="O108" s="297"/>
      <c r="P108" s="289"/>
      <c r="Q108" s="281"/>
      <c r="R108" s="11"/>
    </row>
    <row r="109" spans="5:18" ht="15" thickBot="1">
      <c r="E109" s="505" t="str">
        <f>TGT_POPS!D51</f>
        <v>Total Target_Populations</v>
      </c>
      <c r="F109" s="506"/>
      <c r="G109" s="506"/>
      <c r="H109" s="507"/>
      <c r="I109" s="474">
        <f t="shared" ref="I109:Q109" si="29">SUM(I89,I94,I99,I107)</f>
        <v>4900</v>
      </c>
      <c r="J109" s="475">
        <f t="shared" si="29"/>
        <v>0</v>
      </c>
      <c r="K109" s="476">
        <f t="shared" si="29"/>
        <v>0</v>
      </c>
      <c r="L109" s="477">
        <f t="shared" si="29"/>
        <v>4900</v>
      </c>
      <c r="M109" s="474">
        <f t="shared" si="29"/>
        <v>2414.2999999999997</v>
      </c>
      <c r="N109" s="475">
        <f t="shared" si="29"/>
        <v>1734</v>
      </c>
      <c r="O109" s="476">
        <f t="shared" si="29"/>
        <v>0</v>
      </c>
      <c r="P109" s="477">
        <f t="shared" si="29"/>
        <v>4148.2999999999993</v>
      </c>
      <c r="Q109" s="474">
        <f t="shared" si="29"/>
        <v>9048.2999999999993</v>
      </c>
      <c r="R109" s="501"/>
    </row>
    <row r="110" spans="5:18" ht="15" hidden="1" thickBot="1">
      <c r="E110" s="237"/>
      <c r="F110" s="219"/>
      <c r="G110" s="219"/>
      <c r="H110" s="239"/>
      <c r="I110" s="302">
        <f t="shared" ref="I110:P110" si="30">I109/$Q109</f>
        <v>0.54153818949415922</v>
      </c>
      <c r="J110" s="429">
        <f t="shared" si="30"/>
        <v>0</v>
      </c>
      <c r="K110" s="303">
        <f t="shared" si="30"/>
        <v>0</v>
      </c>
      <c r="L110" s="288">
        <f t="shared" si="30"/>
        <v>0.54153818949415922</v>
      </c>
      <c r="M110" s="304">
        <f t="shared" si="30"/>
        <v>0.26682360222362211</v>
      </c>
      <c r="N110" s="433">
        <f t="shared" si="30"/>
        <v>0.19163820828221878</v>
      </c>
      <c r="O110" s="304">
        <f t="shared" si="30"/>
        <v>0</v>
      </c>
      <c r="P110" s="292">
        <f t="shared" si="30"/>
        <v>0.45846181050584084</v>
      </c>
      <c r="Q110" s="282">
        <f>SUM(I110:K110,M110:O110)</f>
        <v>1</v>
      </c>
      <c r="R110" s="271"/>
    </row>
    <row r="111" spans="5:18">
      <c r="I111" s="269"/>
      <c r="J111" s="269"/>
      <c r="K111" s="270"/>
      <c r="L111" s="269"/>
      <c r="M111" s="269"/>
      <c r="N111" s="269"/>
      <c r="O111" s="269"/>
      <c r="Q111" s="268"/>
      <c r="R111" s="268"/>
    </row>
    <row r="112" spans="5:18">
      <c r="I112" s="269"/>
      <c r="J112" s="269"/>
      <c r="K112" s="270"/>
      <c r="L112" s="269"/>
      <c r="M112" s="269"/>
      <c r="N112" s="269"/>
      <c r="O112" s="269"/>
      <c r="Q112" s="268"/>
      <c r="R112" s="268"/>
    </row>
    <row r="113" spans="4:18" ht="15.6">
      <c r="E113" s="520" t="s">
        <v>810</v>
      </c>
      <c r="I113" s="269"/>
      <c r="J113" s="269"/>
      <c r="K113" s="270"/>
      <c r="L113" s="269"/>
      <c r="M113" s="269"/>
      <c r="N113" s="269"/>
      <c r="O113" s="269"/>
      <c r="Q113" s="268"/>
      <c r="R113" s="268"/>
    </row>
    <row r="114" spans="4:18">
      <c r="I114" s="269"/>
      <c r="J114" s="269"/>
      <c r="K114" s="270"/>
      <c r="L114" s="269"/>
      <c r="M114" s="269"/>
      <c r="N114" s="269"/>
      <c r="O114" s="269"/>
      <c r="Q114" s="268"/>
      <c r="R114" s="268"/>
    </row>
    <row r="115" spans="4:18">
      <c r="F115" s="434">
        <v>1</v>
      </c>
      <c r="G115" s="86">
        <v>1</v>
      </c>
      <c r="H115" s="397" t="s">
        <v>778</v>
      </c>
      <c r="I115" s="269"/>
      <c r="J115" s="269"/>
      <c r="K115" s="270"/>
      <c r="L115" s="269"/>
      <c r="M115" s="269"/>
      <c r="N115" s="269"/>
      <c r="O115" s="269"/>
      <c r="Q115" s="268"/>
      <c r="R115" s="268"/>
    </row>
    <row r="116" spans="4:18" ht="17.399999999999999">
      <c r="D116" s="89"/>
      <c r="F116" s="434">
        <v>2</v>
      </c>
      <c r="G116" s="86">
        <v>2</v>
      </c>
      <c r="H116" s="397" t="s">
        <v>779</v>
      </c>
      <c r="I116" s="269"/>
      <c r="J116" s="269"/>
      <c r="K116" s="270"/>
      <c r="L116" s="269"/>
      <c r="M116" s="269"/>
      <c r="N116" s="269"/>
      <c r="O116" s="269"/>
      <c r="Q116" s="268"/>
      <c r="R116" s="268"/>
    </row>
    <row r="118" spans="4:18" ht="15" thickBot="1">
      <c r="I118" s="269" t="str">
        <f ca="1">OFFSET(FLU_LU!$D$77,$G$115,0)</f>
        <v>USD</v>
      </c>
      <c r="J118" s="269" t="str">
        <f ca="1">OFFSET(FLU_LU!$D$77,$G$115,0)</f>
        <v>USD</v>
      </c>
      <c r="K118" s="269" t="str">
        <f ca="1">OFFSET(FLU_LU!$D$77,$G$115,0)</f>
        <v>USD</v>
      </c>
      <c r="L118" s="269" t="str">
        <f ca="1">OFFSET(FLU_LU!$D$77,$G$115,0)</f>
        <v>USD</v>
      </c>
      <c r="M118" s="269" t="str">
        <f ca="1">OFFSET(FLU_LU!$D$77,$G$115,0)</f>
        <v>USD</v>
      </c>
      <c r="N118" s="269" t="str">
        <f ca="1">OFFSET(FLU_LU!$D$77,$G$115,0)</f>
        <v>USD</v>
      </c>
      <c r="O118" s="269" t="str">
        <f ca="1">OFFSET(FLU_LU!$D$77,$G$115,0)</f>
        <v>USD</v>
      </c>
      <c r="P118" s="269" t="str">
        <f ca="1">OFFSET(FLU_LU!$D$77,$G$115,0)</f>
        <v>USD</v>
      </c>
      <c r="Q118" s="269" t="str">
        <f ca="1">OFFSET(FLU_LU!$D$77,$G$115,0)</f>
        <v>USD</v>
      </c>
      <c r="R118" s="268"/>
    </row>
    <row r="119" spans="4:18" ht="15" hidden="1" thickBot="1">
      <c r="F119" t="s">
        <v>692</v>
      </c>
      <c r="I119" s="436">
        <f>IF(AND($G$115=1,SD_IMM!$G$67=2),(SD_IMM!J68/FLU_BASELINE_XCHANGE_RATE_2),IF(AND($G$115=2,SD_IMM!$G$67=1),(SD_IMM!J68*FLU_BASELINE_XCHANGE_RATE_2),SD_IMM!J68))</f>
        <v>0</v>
      </c>
      <c r="J119" s="436">
        <f>IF(AND($G$115=1,SD_IMM!$G$136=2),(SD_IMM!J137/FLU_BASELINE_XCHANGE_RATE_2),IF(AND($G$115=2,SD_IMM!$G$136=1),(SD_IMM!J137*FLU_BASELINE_XCHANGE_RATE_2),SD_IMM!J137))</f>
        <v>0</v>
      </c>
      <c r="K119" s="436">
        <f>IF(AND($G$115=1,SD_IMM!$G$207=2),(SD_IMM!J208/FLU_BASELINE_XCHANGE_RATE_2),IF(AND($G$115=2,SD_IMM!$G$207=1),(SD_IMM!J208*FLU_BASELINE_XCHANGE_RATE_2),SD_IMM!J208))</f>
        <v>0</v>
      </c>
      <c r="L119" s="437"/>
      <c r="M119" s="436">
        <f>IF(AND($G$115=1,SD_IMM!$G$273=2),(SD_IMM!J274/FLU_BASELINE_XCHANGE_RATE_2),IF(AND($G$115=2,SD_IMM!$G$273=1),(SD_IMM!J274*FLU_BASELINE_XCHANGE_RATE_2),SD_IMM!J274))</f>
        <v>0</v>
      </c>
      <c r="N119" s="436">
        <f>IF(AND($G$115=1,SD_IMM!$G$338=2),(SD_IMM!J339/FLU_BASELINE_XCHANGE_RATE_2),IF(AND($G$115=2,SD_IMM!$G$338=1),(SD_IMM!J339*FLU_BASELINE_XCHANGE_RATE_2),SD_IMM!J339))</f>
        <v>0</v>
      </c>
      <c r="O119" s="436">
        <f>IF(AND($G$115=1,SD_IMM!$G$405=2),(SD_IMM!J406/FLU_BASELINE_XCHANGE_RATE_2),IF(AND($G$115=2,SD_IMM!$G$405=1),(SD_IMM!J406*FLU_BASELINE_XCHANGE_RATE_2),SD_IMM!J406))</f>
        <v>0</v>
      </c>
      <c r="Q119" s="268"/>
      <c r="R119" s="268"/>
    </row>
    <row r="120" spans="4:18" ht="15" hidden="1" thickBot="1">
      <c r="F120" t="s">
        <v>693</v>
      </c>
      <c r="I120" s="436">
        <f>IF(AND($G$115=1,SD_IMM!$G$67=2),(SD_IMM!J69/FLU_BASELINE_XCHANGE_RATE_2),IF(AND($G$115=2,SD_IMM!$G$67=1),(SD_IMM!J69*FLU_BASELINE_XCHANGE_RATE_2),SD_IMM!J69))</f>
        <v>0.33</v>
      </c>
      <c r="J120" s="436">
        <f>IF(AND($G$115=1,SD_IMM!$G$136=2),(SD_IMM!J138/FLU_BASELINE_XCHANGE_RATE_2),IF(AND($G$115=2,SD_IMM!$G$136=1),(SD_IMM!J138*FLU_BASELINE_XCHANGE_RATE_2),SD_IMM!J138))</f>
        <v>0.33</v>
      </c>
      <c r="K120" s="436">
        <f>IF(AND($G$115=1,SD_IMM!$G$207=2),(SD_IMM!J209/FLU_BASELINE_XCHANGE_RATE_2),IF(AND($G$115=2,SD_IMM!$G$207=1),(SD_IMM!J209*FLU_BASELINE_XCHANGE_RATE_2),SD_IMM!J209))</f>
        <v>0.33</v>
      </c>
      <c r="L120" s="436"/>
      <c r="M120" s="435">
        <f>IF(AND($G$115=1,SD_IMM!$G$273=2),(SD_IMM!J275/FLU_BASELINE_XCHANGE_RATE_2),IF(AND($G$115=2,SD_IMM!$G$273=1),(SD_IMM!J275*FLU_BASELINE_XCHANGE_RATE_2),SD_IMM!J275))</f>
        <v>44</v>
      </c>
      <c r="N120" s="436">
        <f>IF(AND($G$115=1,SD_IMM!$G$338=2),(SD_IMM!J340/FLU_BASELINE_XCHANGE_RATE_2),IF(AND($G$115=2,SD_IMM!$G$338=1),(SD_IMM!J340*FLU_BASELINE_XCHANGE_RATE_2),SD_IMM!J340))</f>
        <v>53</v>
      </c>
      <c r="O120" s="436">
        <f>IF(AND($G$115=1,SD_IMM!$G$405=2),(SD_IMM!J407/FLU_BASELINE_XCHANGE_RATE_2),IF(AND($G$115=2,SD_IMM!$G$405=1),(SD_IMM!J407*FLU_BASELINE_XCHANGE_RATE_2),SD_IMM!J407))</f>
        <v>0</v>
      </c>
    </row>
    <row r="121" spans="4:18" ht="15" thickBot="1">
      <c r="I121" s="702" t="s">
        <v>776</v>
      </c>
      <c r="J121" s="704"/>
      <c r="K121" s="704"/>
      <c r="L121" s="703"/>
      <c r="M121" s="702" t="s">
        <v>777</v>
      </c>
      <c r="N121" s="704"/>
      <c r="O121" s="704"/>
      <c r="P121" s="703"/>
      <c r="Q121" s="490"/>
      <c r="R121" s="491"/>
    </row>
    <row r="122" spans="4:18" ht="72.599999999999994" thickBot="1">
      <c r="E122" s="698" t="s">
        <v>110</v>
      </c>
      <c r="F122" s="699"/>
      <c r="G122" s="699"/>
      <c r="H122" s="700"/>
      <c r="I122" s="443" t="str">
        <f>SD_IMM!F18</f>
        <v>Routine Immunization by a Facility Nurse</v>
      </c>
      <c r="J122" s="521" t="str">
        <f>SD_IMM!F19</f>
        <v>Routine Immunization by an Home Visit Nurse</v>
      </c>
      <c r="K122" s="522" t="str">
        <f>SD_IMM!F20</f>
        <v>Routine Immunization by a Satellite Outreach Nurse</v>
      </c>
      <c r="L122" s="401" t="s">
        <v>617</v>
      </c>
      <c r="M122" s="399" t="str">
        <f>SD_IMM!F24</f>
        <v>SIA - Team of 2 Nurses - Full Working Day</v>
      </c>
      <c r="N122" s="400" t="str">
        <f>SD_IMM!F25</f>
        <v>SIA - Team of 1 Doctor and 1 Nurse - Full Working Day</v>
      </c>
      <c r="O122" s="442" t="str">
        <f>SD_IMM!F26</f>
        <v>Service Delivery - Special Immunization Activity Category 3</v>
      </c>
      <c r="P122" s="401" t="s">
        <v>618</v>
      </c>
      <c r="Q122" s="492" t="s">
        <v>83</v>
      </c>
      <c r="R122" s="491"/>
    </row>
    <row r="123" spans="4:18" outlineLevel="1">
      <c r="E123" s="308" t="str">
        <f>TGT_POPS!D27</f>
        <v>Target Group 1</v>
      </c>
      <c r="F123" s="309"/>
      <c r="G123" s="309"/>
      <c r="H123" s="266"/>
      <c r="I123" s="448" t="str">
        <f t="shared" ref="I123:Q123" ca="1" si="31">I$118</f>
        <v>USD</v>
      </c>
      <c r="J123" s="449" t="str">
        <f t="shared" ca="1" si="31"/>
        <v>USD</v>
      </c>
      <c r="K123" s="450" t="str">
        <f t="shared" ca="1" si="31"/>
        <v>USD</v>
      </c>
      <c r="L123" s="444" t="str">
        <f t="shared" ca="1" si="31"/>
        <v>USD</v>
      </c>
      <c r="M123" s="448" t="str">
        <f t="shared" ca="1" si="31"/>
        <v>USD</v>
      </c>
      <c r="N123" s="449" t="str">
        <f t="shared" ca="1" si="31"/>
        <v>USD</v>
      </c>
      <c r="O123" s="450" t="str">
        <f t="shared" ca="1" si="31"/>
        <v>USD</v>
      </c>
      <c r="P123" s="444" t="str">
        <f t="shared" ca="1" si="31"/>
        <v>USD</v>
      </c>
      <c r="Q123" s="448" t="str">
        <f t="shared" ca="1" si="31"/>
        <v>USD</v>
      </c>
      <c r="R123" s="491"/>
    </row>
    <row r="124" spans="4:18" outlineLevel="2">
      <c r="E124" s="233"/>
      <c r="F124" s="11" t="str">
        <f>TGT_POPS!D28</f>
        <v>Front Line Health Workers working in facilities with more than 200 workers</v>
      </c>
      <c r="G124" s="11"/>
      <c r="H124" s="232"/>
      <c r="I124" s="451">
        <f ca="1">SD_IMM!J37*OFFSET(I$118,$G$116,0)</f>
        <v>0</v>
      </c>
      <c r="J124" s="452">
        <f ca="1">SD_IMM!J104*OFFSET(J$118,$G$116,0)</f>
        <v>0</v>
      </c>
      <c r="K124" s="453">
        <f ca="1">SD_IMM!J175*OFFSET(K$118,$G$116,0)</f>
        <v>0</v>
      </c>
      <c r="L124" s="454">
        <f ca="1">SUM(I124:K124)</f>
        <v>0</v>
      </c>
      <c r="M124" s="451">
        <f ca="1">SD_IMM!J242*OFFSET(M$118,$G$116,0)</f>
        <v>0</v>
      </c>
      <c r="N124" s="452">
        <f ca="1">SD_IMM!J307*OFFSET(N$118,$G$116,0)</f>
        <v>91902</v>
      </c>
      <c r="O124" s="453">
        <f ca="1">SD_IMM!J373*OFFSET(O$118,$G$116,0)</f>
        <v>0</v>
      </c>
      <c r="P124" s="454">
        <f ca="1">SUM(M124:O124)</f>
        <v>91902</v>
      </c>
      <c r="Q124" s="502">
        <f ca="1">SUM(I124:K124,M124:O124)</f>
        <v>91902</v>
      </c>
      <c r="R124" s="491"/>
    </row>
    <row r="125" spans="4:18" outlineLevel="2">
      <c r="E125" s="233"/>
      <c r="F125" s="11" t="str">
        <f>TGT_POPS!D29</f>
        <v>Front Line Health Workers working in facilities with 100 to 200 workers</v>
      </c>
      <c r="G125" s="11"/>
      <c r="H125" s="232"/>
      <c r="I125" s="451">
        <f ca="1">SD_IMM!J38*OFFSET(I$118,$G$116,0)</f>
        <v>0</v>
      </c>
      <c r="J125" s="452">
        <f ca="1">SD_IMM!J105*OFFSET(J$118,$G$116,0)</f>
        <v>0</v>
      </c>
      <c r="K125" s="453">
        <f ca="1">SD_IMM!J176*OFFSET(K$118,$G$116,0)</f>
        <v>0</v>
      </c>
      <c r="L125" s="454">
        <f ca="1">SUM(I125:K125)</f>
        <v>0</v>
      </c>
      <c r="M125" s="451">
        <f ca="1">SD_IMM!J243*OFFSET(M$118,$G$116,0)</f>
        <v>106229.19999999998</v>
      </c>
      <c r="N125" s="452">
        <f ca="1">SD_IMM!J308*OFFSET(N$118,$G$116,0)</f>
        <v>0</v>
      </c>
      <c r="O125" s="453">
        <f ca="1">SD_IMM!J374*OFFSET(O$118,$G$116,0)</f>
        <v>0</v>
      </c>
      <c r="P125" s="454">
        <f ca="1">SUM(M125:O125)</f>
        <v>106229.19999999998</v>
      </c>
      <c r="Q125" s="502">
        <f t="shared" ref="Q125:Q127" ca="1" si="32">SUM(I125:K125,M125:O125)</f>
        <v>106229.19999999998</v>
      </c>
      <c r="R125" s="491"/>
    </row>
    <row r="126" spans="4:18" outlineLevel="2">
      <c r="E126" s="233"/>
      <c r="F126" s="11" t="str">
        <f>TGT_POPS!D30</f>
        <v>Front Line Health Workers working in facilities with fewer than 100 workers</v>
      </c>
      <c r="G126" s="11"/>
      <c r="H126" s="232"/>
      <c r="I126" s="451">
        <f ca="1">SD_IMM!J39*OFFSET(I$118,$G$116,0)</f>
        <v>1617</v>
      </c>
      <c r="J126" s="452">
        <f ca="1">SD_IMM!J106*OFFSET(J$118,$G$116,0)</f>
        <v>0</v>
      </c>
      <c r="K126" s="453">
        <f ca="1">SD_IMM!J177*OFFSET(K$118,$G$116,0)</f>
        <v>0</v>
      </c>
      <c r="L126" s="454">
        <f ca="1">SUM(I126:K126)</f>
        <v>1617</v>
      </c>
      <c r="M126" s="451">
        <f ca="1">SD_IMM!J244*OFFSET(M$118,$G$116,0)</f>
        <v>0</v>
      </c>
      <c r="N126" s="452">
        <f ca="1">SD_IMM!J309*OFFSET(N$118,$G$116,0)</f>
        <v>0</v>
      </c>
      <c r="O126" s="453">
        <f ca="1">SD_IMM!J375*OFFSET(O$118,$G$116,0)</f>
        <v>0</v>
      </c>
      <c r="P126" s="454">
        <f ca="1">SUM(M126:O126)</f>
        <v>0</v>
      </c>
      <c r="Q126" s="502">
        <f t="shared" ca="1" si="32"/>
        <v>1617</v>
      </c>
      <c r="R126" s="491"/>
    </row>
    <row r="127" spans="4:18" outlineLevel="1">
      <c r="E127" s="231" t="str">
        <f>TGT_POPS!D31</f>
        <v>All Target Group 1</v>
      </c>
      <c r="F127" s="11"/>
      <c r="G127" s="11"/>
      <c r="H127" s="232"/>
      <c r="I127" s="455">
        <f t="shared" ref="I127:P127" ca="1" si="33">SUM(I124:I126)</f>
        <v>1617</v>
      </c>
      <c r="J127" s="456">
        <f t="shared" ca="1" si="33"/>
        <v>0</v>
      </c>
      <c r="K127" s="457">
        <f t="shared" ca="1" si="33"/>
        <v>0</v>
      </c>
      <c r="L127" s="458">
        <f t="shared" ca="1" si="33"/>
        <v>1617</v>
      </c>
      <c r="M127" s="455">
        <f t="shared" ca="1" si="33"/>
        <v>106229.19999999998</v>
      </c>
      <c r="N127" s="456">
        <f t="shared" ca="1" si="33"/>
        <v>91902</v>
      </c>
      <c r="O127" s="457">
        <f t="shared" ca="1" si="33"/>
        <v>0</v>
      </c>
      <c r="P127" s="458">
        <f t="shared" ca="1" si="33"/>
        <v>198131.19999999998</v>
      </c>
      <c r="Q127" s="503">
        <f t="shared" ca="1" si="32"/>
        <v>199748.19999999998</v>
      </c>
      <c r="R127" s="491"/>
    </row>
    <row r="128" spans="4:18" outlineLevel="1">
      <c r="E128" s="233"/>
      <c r="F128" s="11"/>
      <c r="G128" s="11"/>
      <c r="H128" s="232"/>
      <c r="I128" s="459"/>
      <c r="J128" s="460"/>
      <c r="K128" s="461"/>
      <c r="L128" s="445"/>
      <c r="M128" s="459"/>
      <c r="N128" s="460"/>
      <c r="O128" s="461"/>
      <c r="P128" s="445"/>
      <c r="Q128" s="459"/>
      <c r="R128" s="491"/>
    </row>
    <row r="129" spans="5:18" outlineLevel="1">
      <c r="E129" s="231" t="str">
        <f>TGT_POPS!D33</f>
        <v>Target Group 2 [not in use]</v>
      </c>
      <c r="F129" s="11"/>
      <c r="G129" s="11"/>
      <c r="H129" s="232"/>
      <c r="I129" s="448" t="str">
        <f t="shared" ref="I129:Q129" ca="1" si="34">I$118</f>
        <v>USD</v>
      </c>
      <c r="J129" s="449" t="str">
        <f t="shared" ca="1" si="34"/>
        <v>USD</v>
      </c>
      <c r="K129" s="450" t="str">
        <f t="shared" ca="1" si="34"/>
        <v>USD</v>
      </c>
      <c r="L129" s="444" t="str">
        <f t="shared" ca="1" si="34"/>
        <v>USD</v>
      </c>
      <c r="M129" s="448" t="str">
        <f t="shared" ca="1" si="34"/>
        <v>USD</v>
      </c>
      <c r="N129" s="449" t="str">
        <f t="shared" ca="1" si="34"/>
        <v>USD</v>
      </c>
      <c r="O129" s="450" t="str">
        <f t="shared" ca="1" si="34"/>
        <v>USD</v>
      </c>
      <c r="P129" s="444" t="str">
        <f t="shared" ca="1" si="34"/>
        <v>USD</v>
      </c>
      <c r="Q129" s="448" t="str">
        <f t="shared" ca="1" si="34"/>
        <v>USD</v>
      </c>
      <c r="R129" s="491"/>
    </row>
    <row r="130" spans="5:18" outlineLevel="2">
      <c r="E130" s="233"/>
      <c r="F130" s="11">
        <f>TGT_POPS!D34</f>
        <v>0</v>
      </c>
      <c r="G130" s="11"/>
      <c r="H130" s="232"/>
      <c r="I130" s="451">
        <f ca="1">SD_IMM!J43*OFFSET(I$118,$G$116,0)</f>
        <v>0</v>
      </c>
      <c r="J130" s="452">
        <f ca="1">SD_IMM!J110*OFFSET(J$118,$G$116,0)</f>
        <v>0</v>
      </c>
      <c r="K130" s="453">
        <f ca="1">SD_IMM!J181*OFFSET(K$118,$G$116,0)</f>
        <v>0</v>
      </c>
      <c r="L130" s="454">
        <f ca="1">SUM(I130:K130)</f>
        <v>0</v>
      </c>
      <c r="M130" s="451">
        <f ca="1">SD_IMM!J248*OFFSET(M$118,$G$116,0)</f>
        <v>0</v>
      </c>
      <c r="N130" s="452">
        <f ca="1">SD_IMM!J313*OFFSET(N$118,$G$116,0)</f>
        <v>0</v>
      </c>
      <c r="O130" s="453">
        <f ca="1">SD_IMM!J379*OFFSET(O$118,$G$116,0)</f>
        <v>0</v>
      </c>
      <c r="P130" s="454">
        <f ca="1">SUM(M130:O130)</f>
        <v>0</v>
      </c>
      <c r="Q130" s="502">
        <f t="shared" ref="Q130:Q132" ca="1" si="35">SUM(I130:K130,M130:O130)</f>
        <v>0</v>
      </c>
      <c r="R130" s="491"/>
    </row>
    <row r="131" spans="5:18" outlineLevel="2">
      <c r="E131" s="233"/>
      <c r="F131" s="11">
        <f>TGT_POPS!D35</f>
        <v>0</v>
      </c>
      <c r="G131" s="11"/>
      <c r="H131" s="232"/>
      <c r="I131" s="451">
        <f ca="1">SD_IMM!J44*OFFSET(I$118,$G$116,0)</f>
        <v>0</v>
      </c>
      <c r="J131" s="452">
        <f ca="1">SD_IMM!J111*OFFSET(J$118,$G$116,0)</f>
        <v>0</v>
      </c>
      <c r="K131" s="453">
        <f ca="1">SD_IMM!J182*OFFSET(K$118,$G$116,0)</f>
        <v>0</v>
      </c>
      <c r="L131" s="454">
        <f ca="1">SUM(I131:K131)</f>
        <v>0</v>
      </c>
      <c r="M131" s="451">
        <f ca="1">SD_IMM!J249*OFFSET(M$118,$G$116,0)</f>
        <v>0</v>
      </c>
      <c r="N131" s="452">
        <f ca="1">SD_IMM!J314*OFFSET(N$118,$G$116,0)</f>
        <v>0</v>
      </c>
      <c r="O131" s="453">
        <f ca="1">SD_IMM!J380*OFFSET(O$118,$G$116,0)</f>
        <v>0</v>
      </c>
      <c r="P131" s="454">
        <f ca="1">SUM(M131:O131)</f>
        <v>0</v>
      </c>
      <c r="Q131" s="502">
        <f t="shared" ca="1" si="35"/>
        <v>0</v>
      </c>
      <c r="R131" s="491"/>
    </row>
    <row r="132" spans="5:18" outlineLevel="1">
      <c r="E132" s="231" t="str">
        <f>TGT_POPS!D36</f>
        <v>All Target Group 2 [not in use]</v>
      </c>
      <c r="F132" s="11"/>
      <c r="G132" s="11"/>
      <c r="H132" s="232"/>
      <c r="I132" s="455">
        <f ca="1">SUM(I129:I131)</f>
        <v>0</v>
      </c>
      <c r="J132" s="456">
        <f ca="1">SUM(J129:J131)</f>
        <v>0</v>
      </c>
      <c r="K132" s="457">
        <f ca="1">SUM(K129:K131)</f>
        <v>0</v>
      </c>
      <c r="L132" s="458">
        <f ca="1">SUM(L129:L131)</f>
        <v>0</v>
      </c>
      <c r="M132" s="455">
        <f t="shared" ref="M132:O132" ca="1" si="36">SUM(M129:M131)</f>
        <v>0</v>
      </c>
      <c r="N132" s="456">
        <f t="shared" ca="1" si="36"/>
        <v>0</v>
      </c>
      <c r="O132" s="457">
        <f t="shared" ca="1" si="36"/>
        <v>0</v>
      </c>
      <c r="P132" s="458">
        <f ca="1">SUM(P129:P131)</f>
        <v>0</v>
      </c>
      <c r="Q132" s="503">
        <f t="shared" ca="1" si="35"/>
        <v>0</v>
      </c>
      <c r="R132" s="491"/>
    </row>
    <row r="133" spans="5:18" outlineLevel="1">
      <c r="E133" s="233"/>
      <c r="F133" s="11"/>
      <c r="G133" s="11"/>
      <c r="H133" s="232"/>
      <c r="I133" s="459"/>
      <c r="J133" s="460"/>
      <c r="K133" s="461"/>
      <c r="L133" s="445"/>
      <c r="M133" s="459"/>
      <c r="N133" s="460"/>
      <c r="O133" s="461"/>
      <c r="P133" s="445"/>
      <c r="Q133" s="459"/>
      <c r="R133" s="491"/>
    </row>
    <row r="134" spans="5:18" outlineLevel="1">
      <c r="E134" s="231" t="str">
        <f>TGT_POPS!D38</f>
        <v>Target Group 3 [not in use]</v>
      </c>
      <c r="F134" s="11"/>
      <c r="G134" s="11"/>
      <c r="H134" s="232"/>
      <c r="I134" s="448" t="str">
        <f t="shared" ref="I134:Q134" ca="1" si="37">I$118</f>
        <v>USD</v>
      </c>
      <c r="J134" s="449" t="str">
        <f t="shared" ca="1" si="37"/>
        <v>USD</v>
      </c>
      <c r="K134" s="450" t="str">
        <f t="shared" ca="1" si="37"/>
        <v>USD</v>
      </c>
      <c r="L134" s="444" t="str">
        <f t="shared" ca="1" si="37"/>
        <v>USD</v>
      </c>
      <c r="M134" s="448" t="str">
        <f t="shared" ca="1" si="37"/>
        <v>USD</v>
      </c>
      <c r="N134" s="449" t="str">
        <f t="shared" ca="1" si="37"/>
        <v>USD</v>
      </c>
      <c r="O134" s="450" t="str">
        <f t="shared" ca="1" si="37"/>
        <v>USD</v>
      </c>
      <c r="P134" s="444" t="str">
        <f t="shared" ca="1" si="37"/>
        <v>USD</v>
      </c>
      <c r="Q134" s="448" t="str">
        <f t="shared" ca="1" si="37"/>
        <v>USD</v>
      </c>
      <c r="R134" s="491"/>
    </row>
    <row r="135" spans="5:18" outlineLevel="2">
      <c r="E135" s="233"/>
      <c r="F135" s="11">
        <f>TGT_POPS!D39</f>
        <v>0</v>
      </c>
      <c r="G135" s="11"/>
      <c r="H135" s="232"/>
      <c r="I135" s="451">
        <f ca="1">SD_IMM!J48*OFFSET(I$118,$G$116,0)</f>
        <v>0</v>
      </c>
      <c r="J135" s="452">
        <f ca="1">SD_IMM!J115*OFFSET(J$118,$G$116,0)</f>
        <v>0</v>
      </c>
      <c r="K135" s="453">
        <f ca="1">SD_IMM!J186*OFFSET(K$118,$G$116,0)</f>
        <v>0</v>
      </c>
      <c r="L135" s="454">
        <f ca="1">SUM(I135:K135)</f>
        <v>0</v>
      </c>
      <c r="M135" s="451">
        <f ca="1">SD_IMM!J253*OFFSET(M$118,$G$116,0)</f>
        <v>0</v>
      </c>
      <c r="N135" s="452">
        <f ca="1">SD_IMM!J318*OFFSET(N$118,$G$116,0)</f>
        <v>0</v>
      </c>
      <c r="O135" s="453">
        <f ca="1">SD_IMM!J384*OFFSET(O$118,$G$116,0)</f>
        <v>0</v>
      </c>
      <c r="P135" s="454">
        <f ca="1">SUM(M135:O135)</f>
        <v>0</v>
      </c>
      <c r="Q135" s="502">
        <f t="shared" ref="Q135:Q137" ca="1" si="38">SUM(I135:K135,M135:O135)</f>
        <v>0</v>
      </c>
      <c r="R135" s="491"/>
    </row>
    <row r="136" spans="5:18" outlineLevel="2">
      <c r="E136" s="233"/>
      <c r="F136" s="11">
        <f>TGT_POPS!D40</f>
        <v>0</v>
      </c>
      <c r="G136" s="11"/>
      <c r="H136" s="232"/>
      <c r="I136" s="451">
        <f ca="1">SD_IMM!J49*OFFSET(I$118,$G$116,0)</f>
        <v>0</v>
      </c>
      <c r="J136" s="452">
        <f ca="1">SD_IMM!J116*OFFSET(J$118,$G$116,0)</f>
        <v>0</v>
      </c>
      <c r="K136" s="453">
        <f ca="1">SD_IMM!J187*OFFSET(K$118,$G$116,0)</f>
        <v>0</v>
      </c>
      <c r="L136" s="454">
        <f ca="1">SUM(I136:K136)</f>
        <v>0</v>
      </c>
      <c r="M136" s="451">
        <f ca="1">SD_IMM!J254*OFFSET(M$118,$G$116,0)</f>
        <v>0</v>
      </c>
      <c r="N136" s="452">
        <f ca="1">SD_IMM!J319*OFFSET(N$118,$G$116,0)</f>
        <v>0</v>
      </c>
      <c r="O136" s="453">
        <f ca="1">SD_IMM!J385*OFFSET(O$118,$G$116,0)</f>
        <v>0</v>
      </c>
      <c r="P136" s="454">
        <f ca="1">SUM(M136:O136)</f>
        <v>0</v>
      </c>
      <c r="Q136" s="502">
        <f t="shared" ca="1" si="38"/>
        <v>0</v>
      </c>
      <c r="R136" s="491"/>
    </row>
    <row r="137" spans="5:18" outlineLevel="1">
      <c r="E137" s="231" t="str">
        <f>TGT_POPS!D41</f>
        <v>All Target Group 3 [not in use]</v>
      </c>
      <c r="F137" s="11"/>
      <c r="G137" s="11"/>
      <c r="H137" s="232"/>
      <c r="I137" s="455">
        <f ca="1">SUM(I134:I136)</f>
        <v>0</v>
      </c>
      <c r="J137" s="456">
        <f ca="1">SUM(J134:J136)</f>
        <v>0</v>
      </c>
      <c r="K137" s="457">
        <f ca="1">SUM(K134:K136)</f>
        <v>0</v>
      </c>
      <c r="L137" s="458">
        <f ca="1">SUM(L134:L136)</f>
        <v>0</v>
      </c>
      <c r="M137" s="455">
        <f t="shared" ref="M137" ca="1" si="39">SUM(M134:M136)</f>
        <v>0</v>
      </c>
      <c r="N137" s="456">
        <f t="shared" ref="N137" ca="1" si="40">SUM(N134:N136)</f>
        <v>0</v>
      </c>
      <c r="O137" s="457">
        <f t="shared" ref="O137" ca="1" si="41">SUM(O134:O136)</f>
        <v>0</v>
      </c>
      <c r="P137" s="458">
        <f ca="1">SUM(P134:P136)</f>
        <v>0</v>
      </c>
      <c r="Q137" s="503">
        <f t="shared" ca="1" si="38"/>
        <v>0</v>
      </c>
      <c r="R137" s="491"/>
    </row>
    <row r="138" spans="5:18" outlineLevel="1">
      <c r="E138" s="233"/>
      <c r="F138" s="11"/>
      <c r="G138" s="11"/>
      <c r="H138" s="232"/>
      <c r="I138" s="459"/>
      <c r="J138" s="460"/>
      <c r="K138" s="461"/>
      <c r="L138" s="445"/>
      <c r="M138" s="459"/>
      <c r="N138" s="460"/>
      <c r="O138" s="461"/>
      <c r="P138" s="445"/>
      <c r="Q138" s="459"/>
      <c r="R138" s="491"/>
    </row>
    <row r="139" spans="5:18" outlineLevel="1">
      <c r="E139" s="231" t="str">
        <f>TGT_POPS!D43</f>
        <v>Target Group 4 [not in use]</v>
      </c>
      <c r="F139" s="11"/>
      <c r="G139" s="11"/>
      <c r="H139" s="232"/>
      <c r="I139" s="448" t="str">
        <f t="shared" ref="I139:Q139" ca="1" si="42">I$118</f>
        <v>USD</v>
      </c>
      <c r="J139" s="449" t="str">
        <f t="shared" ca="1" si="42"/>
        <v>USD</v>
      </c>
      <c r="K139" s="450" t="str">
        <f t="shared" ca="1" si="42"/>
        <v>USD</v>
      </c>
      <c r="L139" s="444" t="str">
        <f t="shared" ca="1" si="42"/>
        <v>USD</v>
      </c>
      <c r="M139" s="448" t="str">
        <f t="shared" ca="1" si="42"/>
        <v>USD</v>
      </c>
      <c r="N139" s="449" t="str">
        <f t="shared" ca="1" si="42"/>
        <v>USD</v>
      </c>
      <c r="O139" s="450" t="str">
        <f t="shared" ca="1" si="42"/>
        <v>USD</v>
      </c>
      <c r="P139" s="444" t="str">
        <f t="shared" ca="1" si="42"/>
        <v>USD</v>
      </c>
      <c r="Q139" s="448" t="str">
        <f t="shared" ca="1" si="42"/>
        <v>USD</v>
      </c>
      <c r="R139" s="491"/>
    </row>
    <row r="140" spans="5:18" outlineLevel="2">
      <c r="E140" s="233"/>
      <c r="F140" s="11">
        <f>TGT_POPS!D44</f>
        <v>0</v>
      </c>
      <c r="G140" s="11"/>
      <c r="H140" s="232"/>
      <c r="I140" s="451">
        <f ca="1">SD_IMM!J53*OFFSET(I$118,$G$116,0)</f>
        <v>0</v>
      </c>
      <c r="J140" s="452">
        <f ca="1">SD_IMM!J120*OFFSET(J$118,$G$116,0)</f>
        <v>0</v>
      </c>
      <c r="K140" s="453">
        <f ca="1">SD_IMM!J191*OFFSET(K$118,$G$116,0)</f>
        <v>0</v>
      </c>
      <c r="L140" s="454">
        <f ca="1">SUM(I140:K140)</f>
        <v>0</v>
      </c>
      <c r="M140" s="451">
        <f ca="1">SD_IMM!J258*OFFSET(M$118,$G$116,0)</f>
        <v>0</v>
      </c>
      <c r="N140" s="452">
        <f ca="1">SD_IMM!J323*OFFSET(N$118,$G$116,0)</f>
        <v>0</v>
      </c>
      <c r="O140" s="453">
        <f ca="1">SD_IMM!J389*OFFSET(O$118,$G$116,0)</f>
        <v>0</v>
      </c>
      <c r="P140" s="454">
        <f ca="1">SUM(M140:O140)</f>
        <v>0</v>
      </c>
      <c r="Q140" s="502">
        <f t="shared" ref="Q140:Q145" ca="1" si="43">SUM(I140:K140,M140:O140)</f>
        <v>0</v>
      </c>
      <c r="R140" s="491"/>
    </row>
    <row r="141" spans="5:18" outlineLevel="2">
      <c r="E141" s="233"/>
      <c r="F141" s="11">
        <f>TGT_POPS!D45</f>
        <v>0</v>
      </c>
      <c r="G141" s="11"/>
      <c r="H141" s="232"/>
      <c r="I141" s="451">
        <f ca="1">SD_IMM!J54*OFFSET(I$118,$G$116,0)</f>
        <v>0</v>
      </c>
      <c r="J141" s="452">
        <f ca="1">SD_IMM!J121*OFFSET(J$118,$G$116,0)</f>
        <v>0</v>
      </c>
      <c r="K141" s="453">
        <f ca="1">SD_IMM!J192*OFFSET(K$118,$G$116,0)</f>
        <v>0</v>
      </c>
      <c r="L141" s="454">
        <f ca="1">SUM(I141:K141)</f>
        <v>0</v>
      </c>
      <c r="M141" s="451">
        <f ca="1">SD_IMM!J259*OFFSET(M$118,$G$116,0)</f>
        <v>0</v>
      </c>
      <c r="N141" s="452">
        <f ca="1">SD_IMM!J324*OFFSET(N$118,$G$116,0)</f>
        <v>0</v>
      </c>
      <c r="O141" s="453">
        <f ca="1">SD_IMM!J390*OFFSET(O$118,$G$116,0)</f>
        <v>0</v>
      </c>
      <c r="P141" s="454">
        <f ca="1">SUM(M141:O141)</f>
        <v>0</v>
      </c>
      <c r="Q141" s="502">
        <f t="shared" ca="1" si="43"/>
        <v>0</v>
      </c>
      <c r="R141" s="491"/>
    </row>
    <row r="142" spans="5:18" outlineLevel="2">
      <c r="E142" s="233"/>
      <c r="F142" s="11">
        <f>TGT_POPS!D46</f>
        <v>0</v>
      </c>
      <c r="G142" s="11"/>
      <c r="H142" s="232"/>
      <c r="I142" s="451">
        <f ca="1">SD_IMM!J55*OFFSET(I$118,$G$116,0)</f>
        <v>0</v>
      </c>
      <c r="J142" s="452">
        <f ca="1">SD_IMM!J122*OFFSET(J$118,$G$116,0)</f>
        <v>0</v>
      </c>
      <c r="K142" s="453">
        <f ca="1">SD_IMM!J193*OFFSET(K$118,$G$116,0)</f>
        <v>0</v>
      </c>
      <c r="L142" s="454">
        <f ca="1">SUM(I142:K142)</f>
        <v>0</v>
      </c>
      <c r="M142" s="451">
        <f ca="1">SD_IMM!J260*OFFSET(M$118,$G$116,0)</f>
        <v>0</v>
      </c>
      <c r="N142" s="452">
        <f ca="1">SD_IMM!J325*OFFSET(N$118,$G$116,0)</f>
        <v>0</v>
      </c>
      <c r="O142" s="453">
        <f ca="1">SD_IMM!J391*OFFSET(O$118,$G$116,0)</f>
        <v>0</v>
      </c>
      <c r="P142" s="454">
        <f ca="1">SUM(M142:O142)</f>
        <v>0</v>
      </c>
      <c r="Q142" s="502">
        <f t="shared" ca="1" si="43"/>
        <v>0</v>
      </c>
      <c r="R142" s="491"/>
    </row>
    <row r="143" spans="5:18" outlineLevel="2">
      <c r="E143" s="233"/>
      <c r="F143" s="11">
        <f>TGT_POPS!D47</f>
        <v>0</v>
      </c>
      <c r="G143" s="11"/>
      <c r="H143" s="232"/>
      <c r="I143" s="451">
        <f ca="1">SD_IMM!J56*OFFSET(I$118,$G$116,0)</f>
        <v>0</v>
      </c>
      <c r="J143" s="452">
        <f ca="1">SD_IMM!J123*OFFSET(J$118,$G$116,0)</f>
        <v>0</v>
      </c>
      <c r="K143" s="453">
        <f ca="1">SD_IMM!J194*OFFSET(K$118,$G$116,0)</f>
        <v>0</v>
      </c>
      <c r="L143" s="454">
        <f ca="1">SUM(I143:K143)</f>
        <v>0</v>
      </c>
      <c r="M143" s="451">
        <f ca="1">SD_IMM!J261*OFFSET(M$118,$G$116,0)</f>
        <v>0</v>
      </c>
      <c r="N143" s="452">
        <f ca="1">SD_IMM!J326*OFFSET(N$118,$G$116,0)</f>
        <v>0</v>
      </c>
      <c r="O143" s="453">
        <f ca="1">SD_IMM!J392*OFFSET(O$118,$G$116,0)</f>
        <v>0</v>
      </c>
      <c r="P143" s="454">
        <f ca="1">SUM(M143:O143)</f>
        <v>0</v>
      </c>
      <c r="Q143" s="502">
        <f t="shared" ca="1" si="43"/>
        <v>0</v>
      </c>
      <c r="R143" s="491"/>
    </row>
    <row r="144" spans="5:18" outlineLevel="2">
      <c r="E144" s="233"/>
      <c r="F144" s="11">
        <f>TGT_POPS!D48</f>
        <v>0</v>
      </c>
      <c r="G144" s="11"/>
      <c r="H144" s="232"/>
      <c r="I144" s="451">
        <f ca="1">SD_IMM!J57*OFFSET(I$118,$G$116,0)</f>
        <v>0</v>
      </c>
      <c r="J144" s="452">
        <f ca="1">SD_IMM!J124*OFFSET(J$118,$G$116,0)</f>
        <v>0</v>
      </c>
      <c r="K144" s="453">
        <f ca="1">SD_IMM!J195*OFFSET(K$118,$G$116,0)</f>
        <v>0</v>
      </c>
      <c r="L144" s="454">
        <f ca="1">SUM(I144:K144)</f>
        <v>0</v>
      </c>
      <c r="M144" s="451">
        <f ca="1">SD_IMM!J262*OFFSET(M$118,$G$116,0)</f>
        <v>0</v>
      </c>
      <c r="N144" s="452">
        <f ca="1">SD_IMM!J327*OFFSET(N$118,$G$116,0)</f>
        <v>0</v>
      </c>
      <c r="O144" s="453">
        <f ca="1">SD_IMM!J393*OFFSET(O$118,$G$116,0)</f>
        <v>0</v>
      </c>
      <c r="P144" s="454">
        <f ca="1">SUM(M144:O144)</f>
        <v>0</v>
      </c>
      <c r="Q144" s="502">
        <f t="shared" ca="1" si="43"/>
        <v>0</v>
      </c>
      <c r="R144" s="491"/>
    </row>
    <row r="145" spans="5:18" outlineLevel="1">
      <c r="E145" s="231" t="str">
        <f>TGT_POPS!D49</f>
        <v>All Target Group 4 [not in use]</v>
      </c>
      <c r="F145" s="11"/>
      <c r="G145" s="11"/>
      <c r="H145" s="232"/>
      <c r="I145" s="455">
        <f t="shared" ref="I145:P145" ca="1" si="44">SUM(I140:I144)</f>
        <v>0</v>
      </c>
      <c r="J145" s="456">
        <f t="shared" ca="1" si="44"/>
        <v>0</v>
      </c>
      <c r="K145" s="457">
        <f t="shared" ca="1" si="44"/>
        <v>0</v>
      </c>
      <c r="L145" s="458">
        <f t="shared" ca="1" si="44"/>
        <v>0</v>
      </c>
      <c r="M145" s="455">
        <f t="shared" ca="1" si="44"/>
        <v>0</v>
      </c>
      <c r="N145" s="456">
        <f t="shared" ca="1" si="44"/>
        <v>0</v>
      </c>
      <c r="O145" s="457">
        <f t="shared" ca="1" si="44"/>
        <v>0</v>
      </c>
      <c r="P145" s="458">
        <f t="shared" ca="1" si="44"/>
        <v>0</v>
      </c>
      <c r="Q145" s="503">
        <f t="shared" ca="1" si="43"/>
        <v>0</v>
      </c>
      <c r="R145" s="491"/>
    </row>
    <row r="146" spans="5:18" outlineLevel="1">
      <c r="E146" s="231"/>
      <c r="F146" s="11"/>
      <c r="G146" s="11"/>
      <c r="H146" s="232"/>
      <c r="I146" s="462"/>
      <c r="J146" s="463"/>
      <c r="K146" s="464"/>
      <c r="L146" s="465"/>
      <c r="M146" s="462"/>
      <c r="N146" s="463"/>
      <c r="O146" s="464"/>
      <c r="P146" s="465"/>
      <c r="Q146" s="502"/>
      <c r="R146" s="491"/>
    </row>
    <row r="147" spans="5:18" ht="15" outlineLevel="1" thickBot="1">
      <c r="E147" s="233"/>
      <c r="F147" s="11"/>
      <c r="G147" s="11"/>
      <c r="H147" s="232"/>
      <c r="I147" s="448" t="str">
        <f t="shared" ref="I147:Q147" ca="1" si="45">I$118</f>
        <v>USD</v>
      </c>
      <c r="J147" s="449" t="str">
        <f t="shared" ca="1" si="45"/>
        <v>USD</v>
      </c>
      <c r="K147" s="450" t="str">
        <f t="shared" ca="1" si="45"/>
        <v>USD</v>
      </c>
      <c r="L147" s="444" t="str">
        <f t="shared" ca="1" si="45"/>
        <v>USD</v>
      </c>
      <c r="M147" s="448" t="str">
        <f t="shared" ca="1" si="45"/>
        <v>USD</v>
      </c>
      <c r="N147" s="449" t="str">
        <f t="shared" ca="1" si="45"/>
        <v>USD</v>
      </c>
      <c r="O147" s="450" t="str">
        <f t="shared" ca="1" si="45"/>
        <v>USD</v>
      </c>
      <c r="P147" s="444" t="str">
        <f t="shared" ca="1" si="45"/>
        <v>USD</v>
      </c>
      <c r="Q147" s="448" t="str">
        <f t="shared" ca="1" si="45"/>
        <v>USD</v>
      </c>
      <c r="R147" s="491"/>
    </row>
    <row r="148" spans="5:18" ht="15" thickBot="1">
      <c r="E148" s="505" t="str">
        <f>TGT_POPS!D51</f>
        <v>Total Target_Populations</v>
      </c>
      <c r="F148" s="506"/>
      <c r="G148" s="506"/>
      <c r="H148" s="507"/>
      <c r="I148" s="466">
        <f t="shared" ref="I148:Q148" ca="1" si="46">SUM(I127,I132,I137,I145)</f>
        <v>1617</v>
      </c>
      <c r="J148" s="467">
        <f t="shared" ca="1" si="46"/>
        <v>0</v>
      </c>
      <c r="K148" s="468">
        <f t="shared" ca="1" si="46"/>
        <v>0</v>
      </c>
      <c r="L148" s="469">
        <f t="shared" ca="1" si="46"/>
        <v>1617</v>
      </c>
      <c r="M148" s="486">
        <f t="shared" ca="1" si="46"/>
        <v>106229.19999999998</v>
      </c>
      <c r="N148" s="487">
        <f t="shared" ca="1" si="46"/>
        <v>91902</v>
      </c>
      <c r="O148" s="488">
        <f t="shared" ca="1" si="46"/>
        <v>0</v>
      </c>
      <c r="P148" s="489">
        <f t="shared" ca="1" si="46"/>
        <v>198131.19999999998</v>
      </c>
      <c r="Q148" s="504">
        <f t="shared" ca="1" si="46"/>
        <v>199748.19999999998</v>
      </c>
      <c r="R148" s="491"/>
    </row>
    <row r="149" spans="5:18" ht="15" hidden="1" thickBot="1">
      <c r="E149" s="237"/>
      <c r="F149" s="219"/>
      <c r="G149" s="219"/>
      <c r="H149" s="239"/>
      <c r="I149" s="446">
        <f t="shared" ref="I149:Q149" ca="1" si="47">I148/$Q148</f>
        <v>8.0951918465347883E-3</v>
      </c>
      <c r="J149" s="470">
        <f t="shared" ca="1" si="47"/>
        <v>0</v>
      </c>
      <c r="K149" s="471">
        <f t="shared" ca="1" si="47"/>
        <v>0</v>
      </c>
      <c r="L149" s="472">
        <f t="shared" ca="1" si="47"/>
        <v>8.0951918465347883E-3</v>
      </c>
      <c r="M149" s="446">
        <f t="shared" ca="1" si="47"/>
        <v>0.53181555578473294</v>
      </c>
      <c r="N149" s="470">
        <f t="shared" ca="1" si="47"/>
        <v>0.46008925236873227</v>
      </c>
      <c r="O149" s="471">
        <f t="shared" ca="1" si="47"/>
        <v>0</v>
      </c>
      <c r="P149" s="472">
        <f t="shared" ca="1" si="47"/>
        <v>0.99190480815346527</v>
      </c>
      <c r="Q149" s="447">
        <f t="shared" ca="1" si="47"/>
        <v>1</v>
      </c>
    </row>
  </sheetData>
  <mergeCells count="15">
    <mergeCell ref="E122:H122"/>
    <mergeCell ref="I57:L57"/>
    <mergeCell ref="M57:P57"/>
    <mergeCell ref="I83:L83"/>
    <mergeCell ref="M83:P83"/>
    <mergeCell ref="I121:L121"/>
    <mergeCell ref="M121:P121"/>
    <mergeCell ref="B3:F3"/>
    <mergeCell ref="E58:H58"/>
    <mergeCell ref="E84:H84"/>
    <mergeCell ref="P21:R21"/>
    <mergeCell ref="I8:J8"/>
    <mergeCell ref="I7:M7"/>
    <mergeCell ref="K8:M8"/>
    <mergeCell ref="F7:H9"/>
  </mergeCells>
  <conditionalFormatting sqref="I11:J13 I15:J17">
    <cfRule type="colorScale" priority="10">
      <colorScale>
        <cfvo type="min"/>
        <cfvo type="max"/>
        <color rgb="FFFCFCFF"/>
        <color rgb="FFF8696B"/>
      </colorScale>
    </cfRule>
  </conditionalFormatting>
  <conditionalFormatting sqref="I80:K80 M80:O80 Q80">
    <cfRule type="dataBar" priority="14">
      <dataBar>
        <cfvo type="min"/>
        <cfvo type="max"/>
        <color rgb="FF63C384"/>
      </dataBar>
      <extLst>
        <ext xmlns:x14="http://schemas.microsoft.com/office/spreadsheetml/2009/9/main" uri="{B025F937-C7B1-47D3-B67F-A62EFF666E3E}">
          <x14:id>{FD4E1880-0F9F-4A85-9DDC-8B46C796197E}</x14:id>
        </ext>
      </extLst>
    </cfRule>
  </conditionalFormatting>
  <conditionalFormatting sqref="I109:K109 M109:O109 Q109">
    <cfRule type="dataBar" priority="13">
      <dataBar>
        <cfvo type="min"/>
        <cfvo type="max"/>
        <color rgb="FFFFB628"/>
      </dataBar>
      <extLst>
        <ext xmlns:x14="http://schemas.microsoft.com/office/spreadsheetml/2009/9/main" uri="{B025F937-C7B1-47D3-B67F-A62EFF666E3E}">
          <x14:id>{B7B257E8-ADAB-4ABF-91B1-F15D88DB49B8}</x14:id>
        </ext>
      </extLst>
    </cfRule>
  </conditionalFormatting>
  <conditionalFormatting sqref="I148:K148 M148:O148 Q148">
    <cfRule type="dataBar" priority="12">
      <dataBar>
        <cfvo type="min"/>
        <cfvo type="max"/>
        <color rgb="FFD6007B"/>
      </dataBar>
      <extLst>
        <ext xmlns:x14="http://schemas.microsoft.com/office/spreadsheetml/2009/9/main" uri="{B025F937-C7B1-47D3-B67F-A62EFF666E3E}">
          <x14:id>{05241EC5-3BDC-4F39-86CA-59CC54702DFF}</x14:id>
        </ext>
      </extLst>
    </cfRule>
  </conditionalFormatting>
  <conditionalFormatting sqref="K11:K13 N7 K15:K17 M11:M13 M15:M17">
    <cfRule type="colorScale" priority="9">
      <colorScale>
        <cfvo type="min"/>
        <cfvo type="max"/>
        <color rgb="FFFCFCFF"/>
        <color rgb="FFF8696B"/>
      </colorScale>
    </cfRule>
  </conditionalFormatting>
  <conditionalFormatting sqref="K50">
    <cfRule type="cellIs" dxfId="17" priority="1" operator="notEqual">
      <formula>1</formula>
    </cfRule>
  </conditionalFormatting>
  <conditionalFormatting sqref="Q149">
    <cfRule type="cellIs" dxfId="16" priority="15" operator="notEqual">
      <formula>1</formula>
    </cfRule>
    <cfRule type="cellIs" dxfId="15" priority="16" operator="equal">
      <formula>1</formula>
    </cfRule>
  </conditionalFormatting>
  <dataValidations disablePrompts="1" count="2">
    <dataValidation type="whole" showDropDown="1" showErrorMessage="1" errorTitle="Drop Down Box Cell Link" error="The value in a drop down box cell link must be a whole number within the control's lookup range rows." sqref="G115 N20" xr:uid="{00000000-0002-0000-0500-000000000000}">
      <formula1>1</formula1>
      <formula2>ROWS(LU_FLU_Curr_Code)</formula2>
    </dataValidation>
    <dataValidation type="whole" showDropDown="1" showErrorMessage="1" errorTitle="Drop Down Box Cell Link" error="The value in a drop down box cell link must be a whole number within the control's lookup range rows." sqref="G116" xr:uid="{00000000-0002-0000-0500-000001000000}">
      <formula1>1</formula1>
      <formula2>ROWS(LU_FLU_FIN_ECON)</formula2>
    </dataValidation>
  </dataValidations>
  <hyperlinks>
    <hyperlink ref="A4" location="$B$5" tooltip="Go to Top of Sheet" display="$B$5" xr:uid="{00000000-0004-0000-0500-000000000000}"/>
    <hyperlink ref="B4" location="HL_Sheet_Main_14" tooltip="Go to Previous Sheet" display="HL_Sheet_Main_14" xr:uid="{00000000-0004-0000-0500-000001000000}"/>
    <hyperlink ref="C4" location="HL_Sheet_Main_13" tooltip="Go to Next Sheet" display="HL_Sheet_Main_13" xr:uid="{00000000-0004-0000-0500-000002000000}"/>
    <hyperlink ref="B3" location="HL_Home" tooltip="Go to Table of Contents" display="HL_Home" xr:uid="{00000000-0004-0000-0500-000003000000}"/>
    <hyperlink ref="D4" location="HL_Err_Chk" tooltip="Go to Error Checks" display="HL_Err_Chk" xr:uid="{00000000-0004-0000-0500-000004000000}"/>
    <hyperlink ref="E4" location="HL_Sens_Chk" tooltip="Go to Sensitivity Checks" display="HL_Sens_Chk" xr:uid="{00000000-0004-0000-0500-000005000000}"/>
    <hyperlink ref="F4" location="HL_Alt_Chk" tooltip="Go to Alert Checks" display="HL_Alt_Chk" xr:uid="{00000000-0004-0000-0500-000006000000}"/>
  </hyperlinks>
  <pageMargins left="0.39370078740157499" right="0.39370078740157499" top="0.59055118110236204" bottom="0.98425196850393704" header="0" footer="0.31496062992126"/>
  <pageSetup orientation="landscape" horizontalDpi="4294967292"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03" r:id="rId4" name="Drop Down 3">
              <controlPr defaultSize="0" autoFill="0" autoPict="0">
                <anchor moveWithCells="1">
                  <from>
                    <xdr:col>6</xdr:col>
                    <xdr:colOff>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075204" r:id="rId5" name="Drop Down 4">
              <controlPr defaultSize="0" autoFill="0" autoPict="0">
                <anchor moveWithCells="1">
                  <from>
                    <xdr:col>6</xdr:col>
                    <xdr:colOff>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075206" r:id="rId6" name="Drop Down 6">
              <controlPr defaultSize="0" autoFill="0" autoPict="0">
                <anchor moveWithCells="1">
                  <from>
                    <xdr:col>13</xdr:col>
                    <xdr:colOff>0</xdr:colOff>
                    <xdr:row>19</xdr:row>
                    <xdr:rowOff>0</xdr:rowOff>
                  </from>
                  <to>
                    <xdr:col>14</xdr:col>
                    <xdr:colOff>0</xdr:colOff>
                    <xdr:row>20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FD4E1880-0F9F-4A85-9DDC-8B46C796197E}">
            <x14:dataBar minLength="0" maxLength="100" border="1" negativeBarBorderColorSameAsPositive="0">
              <x14:cfvo type="autoMin"/>
              <x14:cfvo type="autoMax"/>
              <x14:borderColor rgb="FF63C384"/>
              <x14:negativeFillColor rgb="FFFF0000"/>
              <x14:negativeBorderColor rgb="FFFF0000"/>
              <x14:axisColor rgb="FF000000"/>
            </x14:dataBar>
          </x14:cfRule>
          <xm:sqref>I80:K80 M80:O80 Q80</xm:sqref>
        </x14:conditionalFormatting>
        <x14:conditionalFormatting xmlns:xm="http://schemas.microsoft.com/office/excel/2006/main">
          <x14:cfRule type="dataBar" id="{B7B257E8-ADAB-4ABF-91B1-F15D88DB49B8}">
            <x14:dataBar minLength="0" maxLength="100" border="1" negativeBarBorderColorSameAsPositive="0">
              <x14:cfvo type="autoMin"/>
              <x14:cfvo type="autoMax"/>
              <x14:borderColor rgb="FFFFB628"/>
              <x14:negativeFillColor rgb="FFFF0000"/>
              <x14:negativeBorderColor rgb="FFFF0000"/>
              <x14:axisColor rgb="FF000000"/>
            </x14:dataBar>
          </x14:cfRule>
          <xm:sqref>I109:K109 M109:O109 Q109</xm:sqref>
        </x14:conditionalFormatting>
        <x14:conditionalFormatting xmlns:xm="http://schemas.microsoft.com/office/excel/2006/main">
          <x14:cfRule type="dataBar" id="{05241EC5-3BDC-4F39-86CA-59CC54702DFF}">
            <x14:dataBar minLength="0" maxLength="100" border="1" negativeBarBorderColorSameAsPositive="0">
              <x14:cfvo type="autoMin"/>
              <x14:cfvo type="autoMax"/>
              <x14:borderColor rgb="FFD6007B"/>
              <x14:negativeFillColor rgb="FFFF0000"/>
              <x14:negativeBorderColor rgb="FFFF0000"/>
              <x14:axisColor rgb="FF000000"/>
            </x14:dataBar>
          </x14:cfRule>
          <xm:sqref>I148:K148 M148:O148 Q148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autoPageBreaks="0"/>
  </sheetPr>
  <dimension ref="A1:AJ8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2.44140625" defaultRowHeight="14.4" outlineLevelRow="1"/>
  <cols>
    <col min="1" max="1" width="3.6640625" style="66" customWidth="1"/>
    <col min="2" max="2" width="2.44140625" style="66" customWidth="1"/>
    <col min="3" max="3" width="3.44140625" style="66" customWidth="1"/>
    <col min="4" max="4" width="2.44140625" style="66"/>
    <col min="5" max="5" width="8.88671875" style="66" bestFit="1" customWidth="1"/>
    <col min="6" max="6" width="2.44140625" style="66"/>
    <col min="7" max="7" width="8.88671875" style="66" bestFit="1" customWidth="1"/>
    <col min="8" max="8" width="10.77734375" style="66" customWidth="1"/>
    <col min="9" max="9" width="2.44140625" style="66"/>
    <col min="10" max="10" width="14.109375" style="66" customWidth="1"/>
    <col min="11" max="11" width="2.44140625" style="66"/>
    <col min="12" max="12" width="15.21875" style="66" customWidth="1"/>
    <col min="13" max="13" width="2.44140625" style="66"/>
    <col min="14" max="14" width="21" style="66" customWidth="1"/>
    <col min="15" max="28" width="2.44140625" style="66"/>
    <col min="29" max="29" width="11.77734375" style="66" customWidth="1"/>
    <col min="30" max="30" width="2.44140625" style="66"/>
    <col min="31" max="31" width="13.44140625" style="66" customWidth="1"/>
    <col min="32" max="36" width="2.44140625" style="66"/>
    <col min="37" max="37" width="12.44140625" style="66" customWidth="1"/>
    <col min="38" max="38" width="2.44140625" style="66"/>
    <col min="39" max="39" width="11.88671875" style="66" customWidth="1"/>
    <col min="40" max="16384" width="2.44140625" style="66"/>
  </cols>
  <sheetData>
    <row r="1" spans="1:11" ht="21">
      <c r="B1" s="101" t="s">
        <v>837</v>
      </c>
    </row>
    <row r="2" spans="1:11" ht="18">
      <c r="B2" s="75" t="str">
        <f>Model_Name</f>
        <v>Seasonal Influenza Immunization Costing Tool (SIICT)  - Test Country</v>
      </c>
    </row>
    <row r="3" spans="1:11">
      <c r="B3" s="695" t="s">
        <v>1</v>
      </c>
      <c r="C3" s="695"/>
      <c r="D3" s="695"/>
      <c r="E3" s="695"/>
      <c r="F3" s="695"/>
      <c r="G3" s="118"/>
      <c r="H3" s="118"/>
      <c r="I3" s="118"/>
    </row>
    <row r="4" spans="1:11">
      <c r="A4" s="67" t="s">
        <v>3</v>
      </c>
      <c r="B4" s="711" t="s">
        <v>4</v>
      </c>
      <c r="C4" s="711"/>
      <c r="D4" s="712" t="s">
        <v>5</v>
      </c>
      <c r="E4" s="712"/>
      <c r="F4" s="683" t="s">
        <v>25</v>
      </c>
      <c r="G4" s="683"/>
      <c r="H4" s="697" t="s">
        <v>26</v>
      </c>
      <c r="I4" s="697"/>
      <c r="J4" s="684" t="s">
        <v>27</v>
      </c>
      <c r="K4" s="684"/>
    </row>
    <row r="5" spans="1:11">
      <c r="A5" s="67"/>
      <c r="B5" s="149"/>
      <c r="C5" s="149"/>
      <c r="D5" s="398"/>
      <c r="E5" s="398"/>
      <c r="F5" s="539"/>
      <c r="G5" s="539"/>
      <c r="H5" s="540"/>
      <c r="I5" s="540"/>
      <c r="J5" s="538"/>
      <c r="K5" s="538"/>
    </row>
    <row r="6" spans="1:11">
      <c r="A6" s="67"/>
      <c r="B6" s="149"/>
      <c r="C6" s="149"/>
      <c r="D6" s="398"/>
      <c r="E6" s="398"/>
      <c r="F6" s="539"/>
      <c r="G6" s="539"/>
      <c r="H6" s="540"/>
      <c r="I6" s="540"/>
      <c r="J6" s="538"/>
      <c r="K6" s="538"/>
    </row>
    <row r="7" spans="1:11">
      <c r="A7" s="67"/>
      <c r="B7" s="149"/>
      <c r="C7" s="149"/>
      <c r="D7" s="398"/>
      <c r="E7" s="398"/>
      <c r="F7" s="539"/>
      <c r="G7" s="539"/>
      <c r="H7" s="540"/>
      <c r="I7" s="540"/>
      <c r="J7" s="538"/>
      <c r="K7" s="538"/>
    </row>
    <row r="8" spans="1:11">
      <c r="A8" s="67"/>
      <c r="B8" s="149"/>
      <c r="C8" s="149"/>
      <c r="D8" s="398"/>
      <c r="E8" s="398"/>
      <c r="F8" s="539"/>
      <c r="G8" s="539"/>
      <c r="H8" s="540"/>
      <c r="I8" s="540"/>
      <c r="J8" s="538"/>
      <c r="K8" s="538"/>
    </row>
    <row r="9" spans="1:11">
      <c r="A9" s="67"/>
      <c r="B9" s="149"/>
      <c r="C9" s="149"/>
      <c r="D9" s="398"/>
      <c r="E9" s="398"/>
      <c r="F9" s="539"/>
      <c r="G9" s="539"/>
      <c r="H9" s="540"/>
      <c r="I9" s="540"/>
      <c r="J9" s="538"/>
      <c r="K9" s="538"/>
    </row>
    <row r="10" spans="1:11">
      <c r="A10" s="67"/>
      <c r="B10" s="149"/>
      <c r="C10" s="149"/>
      <c r="D10" s="398"/>
      <c r="E10" s="398"/>
      <c r="F10" s="539"/>
      <c r="G10" s="539"/>
      <c r="H10" s="540"/>
      <c r="I10" s="540"/>
      <c r="J10" s="538"/>
      <c r="K10" s="538"/>
    </row>
    <row r="11" spans="1:11">
      <c r="A11" s="67"/>
      <c r="B11" s="149"/>
      <c r="C11" s="149"/>
      <c r="D11" s="398"/>
      <c r="E11" s="398"/>
      <c r="F11" s="539"/>
      <c r="G11" s="539"/>
      <c r="H11" s="540"/>
      <c r="I11" s="540"/>
      <c r="J11" s="538"/>
      <c r="K11" s="538"/>
    </row>
    <row r="12" spans="1:11">
      <c r="A12" s="67"/>
      <c r="B12" s="149"/>
      <c r="C12" s="149"/>
      <c r="D12" s="398"/>
      <c r="E12" s="398"/>
      <c r="F12" s="539"/>
      <c r="G12" s="539"/>
      <c r="H12" s="540"/>
      <c r="I12" s="540"/>
      <c r="J12" s="538"/>
      <c r="K12" s="538"/>
    </row>
    <row r="13" spans="1:11">
      <c r="A13" s="67"/>
      <c r="B13" s="149"/>
      <c r="C13" s="149"/>
      <c r="D13" s="398"/>
      <c r="E13" s="398"/>
      <c r="F13" s="539"/>
      <c r="G13" s="539"/>
      <c r="H13" s="540"/>
      <c r="I13" s="540"/>
      <c r="J13" s="538"/>
      <c r="K13" s="538"/>
    </row>
    <row r="14" spans="1:11">
      <c r="A14" s="67"/>
      <c r="B14" s="149"/>
      <c r="C14" s="149"/>
      <c r="D14" s="398"/>
      <c r="E14" s="398"/>
      <c r="F14" s="539"/>
      <c r="G14" s="539"/>
      <c r="H14" s="540"/>
      <c r="I14" s="540"/>
      <c r="J14" s="538"/>
      <c r="K14" s="538"/>
    </row>
    <row r="15" spans="1:11">
      <c r="A15" s="67"/>
      <c r="B15" s="149"/>
      <c r="C15" s="149"/>
      <c r="D15" s="398"/>
      <c r="E15" s="398"/>
      <c r="F15" s="539"/>
      <c r="G15" s="539"/>
      <c r="H15" s="540"/>
      <c r="I15" s="540"/>
      <c r="J15" s="538"/>
      <c r="K15" s="538"/>
    </row>
    <row r="16" spans="1:11">
      <c r="A16" s="67"/>
      <c r="B16" s="149"/>
      <c r="C16" s="149"/>
      <c r="D16" s="398"/>
      <c r="E16" s="398"/>
      <c r="F16" s="539"/>
      <c r="G16" s="539"/>
      <c r="H16" s="540"/>
      <c r="I16" s="540"/>
      <c r="J16" s="538"/>
      <c r="K16" s="538"/>
    </row>
    <row r="17" spans="1:11">
      <c r="A17" s="67"/>
      <c r="B17" s="149"/>
      <c r="C17" s="149"/>
      <c r="D17" s="398"/>
      <c r="E17" s="398"/>
      <c r="F17" s="539"/>
      <c r="G17" s="539"/>
      <c r="H17" s="540"/>
      <c r="I17" s="540"/>
      <c r="J17" s="538"/>
      <c r="K17" s="538"/>
    </row>
    <row r="18" spans="1:11">
      <c r="A18" s="67"/>
      <c r="B18" s="149"/>
      <c r="C18" s="149"/>
      <c r="D18" s="398"/>
      <c r="E18" s="398"/>
      <c r="F18" s="539"/>
      <c r="G18" s="539"/>
      <c r="H18" s="540"/>
      <c r="I18" s="540"/>
      <c r="J18" s="538"/>
      <c r="K18" s="538"/>
    </row>
    <row r="19" spans="1:11">
      <c r="A19" s="67"/>
      <c r="B19" s="149"/>
      <c r="C19" s="149"/>
      <c r="D19" s="398"/>
      <c r="E19" s="398"/>
      <c r="F19" s="539"/>
      <c r="G19" s="539"/>
      <c r="H19" s="540"/>
      <c r="I19" s="540"/>
      <c r="J19" s="538"/>
      <c r="K19" s="538"/>
    </row>
    <row r="20" spans="1:11">
      <c r="A20" s="67"/>
      <c r="B20" s="149"/>
      <c r="C20" s="149"/>
      <c r="D20" s="398"/>
      <c r="E20" s="398"/>
      <c r="F20" s="539"/>
      <c r="G20" s="539"/>
      <c r="H20" s="540"/>
      <c r="I20" s="540"/>
      <c r="J20" s="538"/>
      <c r="K20" s="538"/>
    </row>
    <row r="21" spans="1:11">
      <c r="A21" s="67"/>
      <c r="B21" s="149"/>
      <c r="C21" s="149"/>
      <c r="D21" s="398"/>
      <c r="E21" s="398"/>
      <c r="F21" s="539"/>
      <c r="G21" s="539"/>
      <c r="H21" s="540"/>
      <c r="I21" s="540"/>
      <c r="J21" s="538"/>
      <c r="K21" s="538"/>
    </row>
    <row r="22" spans="1:11">
      <c r="A22" s="67"/>
      <c r="B22" s="149"/>
      <c r="C22" s="149"/>
      <c r="D22" s="398"/>
      <c r="E22" s="398"/>
      <c r="F22" s="539"/>
      <c r="G22" s="539"/>
      <c r="H22" s="540"/>
      <c r="I22" s="540"/>
      <c r="J22" s="538"/>
      <c r="K22" s="538"/>
    </row>
    <row r="23" spans="1:11">
      <c r="A23" s="67"/>
      <c r="B23" s="149"/>
      <c r="C23" s="149"/>
      <c r="D23" s="398"/>
      <c r="E23" s="398"/>
      <c r="F23" s="539"/>
      <c r="G23" s="539"/>
      <c r="H23" s="540"/>
      <c r="I23" s="540"/>
      <c r="J23" s="538"/>
      <c r="K23" s="538"/>
    </row>
    <row r="24" spans="1:11">
      <c r="A24" s="67"/>
      <c r="B24" s="149"/>
      <c r="C24" s="149"/>
      <c r="D24" s="398"/>
      <c r="E24" s="398"/>
      <c r="F24" s="539"/>
      <c r="G24" s="539"/>
      <c r="H24" s="540"/>
      <c r="I24" s="540"/>
      <c r="J24" s="538"/>
      <c r="K24" s="538"/>
    </row>
    <row r="25" spans="1:11">
      <c r="A25" s="67"/>
      <c r="B25" s="149"/>
      <c r="C25" s="149"/>
      <c r="D25" s="398"/>
      <c r="E25" s="398"/>
      <c r="F25" s="539"/>
      <c r="G25" s="539"/>
      <c r="H25" s="540"/>
      <c r="I25" s="540"/>
      <c r="J25" s="538"/>
      <c r="K25" s="538"/>
    </row>
    <row r="26" spans="1:11">
      <c r="A26" s="67"/>
      <c r="B26" s="149"/>
      <c r="C26" s="149"/>
      <c r="D26" s="398"/>
      <c r="E26" s="398"/>
      <c r="F26" s="539"/>
      <c r="G26" s="539"/>
      <c r="H26" s="540"/>
      <c r="I26" s="540"/>
      <c r="J26" s="538"/>
      <c r="K26" s="538"/>
    </row>
    <row r="27" spans="1:11">
      <c r="A27" s="67"/>
      <c r="B27" s="149"/>
      <c r="C27" s="149"/>
      <c r="D27" s="398"/>
      <c r="E27" s="398"/>
      <c r="F27" s="539"/>
      <c r="G27" s="539"/>
      <c r="H27" s="540"/>
      <c r="I27" s="540"/>
      <c r="J27" s="538"/>
      <c r="K27" s="538"/>
    </row>
    <row r="28" spans="1:11">
      <c r="G28" s="541"/>
      <c r="J28" s="86"/>
    </row>
    <row r="33" spans="3:36">
      <c r="M33" s="86">
        <v>9</v>
      </c>
      <c r="N33" s="548" t="s">
        <v>841</v>
      </c>
    </row>
    <row r="46" spans="3:36">
      <c r="C46" s="543"/>
      <c r="D46" s="543"/>
      <c r="E46" s="543"/>
      <c r="F46" s="543"/>
      <c r="G46" s="543"/>
      <c r="H46" s="551" t="str">
        <f>FLU_LU!$D$78</f>
        <v>USD</v>
      </c>
      <c r="I46" s="544"/>
      <c r="J46" s="551" t="str">
        <f>FLU_LU!$D$78</f>
        <v>USD</v>
      </c>
      <c r="K46" s="543"/>
      <c r="L46" s="543"/>
      <c r="M46" s="543"/>
      <c r="P46" s="543"/>
      <c r="Q46" s="543"/>
      <c r="R46" s="543"/>
      <c r="S46" s="543"/>
      <c r="T46" s="543"/>
      <c r="U46" s="543"/>
      <c r="V46" s="544"/>
      <c r="W46" s="544"/>
      <c r="X46" s="544"/>
      <c r="Y46" s="543"/>
      <c r="Z46" s="543"/>
      <c r="AA46" s="543"/>
      <c r="AB46" s="543"/>
      <c r="AC46" s="551" t="str">
        <f>FLU_LU!$D$79</f>
        <v>GOZ</v>
      </c>
      <c r="AD46" s="544"/>
      <c r="AE46" s="551" t="str">
        <f>FLU_LU!$D$79</f>
        <v>GOZ</v>
      </c>
      <c r="AF46" s="543"/>
      <c r="AG46" s="543"/>
      <c r="AH46" s="543"/>
      <c r="AI46" s="543"/>
      <c r="AJ46" s="543"/>
    </row>
    <row r="47" spans="3:36">
      <c r="C47" s="543"/>
      <c r="D47" s="543"/>
      <c r="E47" s="543"/>
      <c r="F47" s="543"/>
      <c r="G47" s="543"/>
      <c r="H47" s="551" t="str">
        <f>DASHBOARD!$J$47</f>
        <v>Financial</v>
      </c>
      <c r="I47" s="544"/>
      <c r="J47" s="551" t="str">
        <f>DASHBOARD!$N$47</f>
        <v>Economic</v>
      </c>
      <c r="K47" s="543"/>
      <c r="L47" s="543"/>
      <c r="M47" s="543"/>
      <c r="P47" s="543"/>
      <c r="Q47" s="543"/>
      <c r="R47" s="543"/>
      <c r="S47" s="543"/>
      <c r="T47" s="543"/>
      <c r="U47" s="543"/>
      <c r="V47" s="544"/>
      <c r="W47" s="544"/>
      <c r="X47" s="544"/>
      <c r="Y47" s="543"/>
      <c r="Z47" s="543"/>
      <c r="AA47" s="543"/>
      <c r="AB47" s="543"/>
      <c r="AC47" s="551" t="str">
        <f>DASHBOARD!$J$47</f>
        <v>Financial</v>
      </c>
      <c r="AD47" s="544"/>
      <c r="AE47" s="551" t="str">
        <f>DASHBOARD!$N$47</f>
        <v>Economic</v>
      </c>
      <c r="AF47" s="543"/>
      <c r="AG47" s="543"/>
      <c r="AH47" s="543"/>
      <c r="AI47" s="543"/>
      <c r="AJ47" s="543"/>
    </row>
    <row r="48" spans="3:36">
      <c r="C48" s="543"/>
      <c r="D48" s="543"/>
      <c r="E48" s="543"/>
      <c r="F48" s="543"/>
      <c r="G48" s="550" t="str">
        <f ca="1">OFFSET(DASHBOARD!$F$49,Graphs!$M$33,0)</f>
        <v>TOTAL RECURRENT COSTS</v>
      </c>
      <c r="H48" s="546">
        <f ca="1">IF(DASHBOARD!$J$2=1,OFFSET(DASHBOARD!$J$49,Graphs!$M$33,0),OFFSET(DASHBOARD!$J$49,Graphs!$M$33,0)/FLU_XCHANGE_YR1)</f>
        <v>85610.703333333324</v>
      </c>
      <c r="I48" s="543"/>
      <c r="J48" s="546">
        <f ca="1">IF(DASHBOARD!$J$2=1,OFFSET(DASHBOARD!$N$49,Graphs!$M$33,0),OFFSET(DASHBOARD!$N$49,Graphs!$M$33,0)/FLU_XCHANGE_YR1)</f>
        <v>114053.60584848485</v>
      </c>
      <c r="K48" s="543"/>
      <c r="L48" s="543"/>
      <c r="M48" s="543"/>
      <c r="P48" s="543"/>
      <c r="Q48" s="543"/>
      <c r="R48" s="543"/>
      <c r="S48" s="545"/>
      <c r="T48" s="543"/>
      <c r="U48" s="543"/>
      <c r="V48" s="546"/>
      <c r="W48" s="543"/>
      <c r="X48" s="546"/>
      <c r="Y48" s="543"/>
      <c r="Z48" s="543"/>
      <c r="AA48" s="549" t="str">
        <f ca="1">OFFSET(DASHBOARD!$F$49,Graphs!$M$33,0)</f>
        <v>TOTAL RECURRENT COSTS</v>
      </c>
      <c r="AB48" s="543"/>
      <c r="AC48" s="547">
        <f ca="1">IF(DASHBOARD!$J$2=2,OFFSET(DASHBOARD!$J$49,Graphs!$M$33,0),OFFSET(DASHBOARD!$J$49,Graphs!$M$33,0)*FLU_XCHANGE_YR1)</f>
        <v>12841605.499999998</v>
      </c>
      <c r="AD48" s="543"/>
      <c r="AE48" s="547">
        <f ca="1">IF(DASHBOARD!$J$2=2,OFFSET(DASHBOARD!$N$49,Graphs!$M$33,0),OFFSET(DASHBOARD!$N$49,Graphs!$M$33,0)*FLU_XCHANGE_YR1)</f>
        <v>17108040.877272729</v>
      </c>
      <c r="AF48" s="543"/>
      <c r="AG48" s="543"/>
      <c r="AH48" s="543"/>
      <c r="AI48" s="543"/>
      <c r="AJ48" s="543"/>
    </row>
    <row r="49" spans="3:31">
      <c r="H49" s="512"/>
      <c r="J49" s="512"/>
      <c r="AC49" s="512"/>
      <c r="AE49" s="512"/>
    </row>
    <row r="51" spans="3:31">
      <c r="L51" s="542"/>
    </row>
    <row r="52" spans="3:31">
      <c r="C52" s="509" t="str">
        <f>DASHBOARD!F20</f>
        <v>Target Group 1</v>
      </c>
    </row>
    <row r="53" spans="3:31" ht="15" outlineLevel="1">
      <c r="D53" s="66" t="str">
        <f>DASHBOARD!G21</f>
        <v>Front Line Health Workers working in facilities with more than 200 workers</v>
      </c>
      <c r="N53" s="615" t="str">
        <f>REPT("|",DASHBOARD!J21/100)</f>
        <v>||||||||||||||||||||||||||||||||||</v>
      </c>
    </row>
    <row r="54" spans="3:31" ht="15" outlineLevel="1">
      <c r="E54" s="620" t="s">
        <v>854</v>
      </c>
      <c r="N54" s="621" t="str">
        <f>REPT("|",DASHBOARD!K21/100)</f>
        <v>|||||||||||||||||</v>
      </c>
    </row>
    <row r="55" spans="3:31" ht="15" outlineLevel="1">
      <c r="D55" s="66" t="str">
        <f>DASHBOARD!G22</f>
        <v>Front Line Health Workers working in facilities with 100 to 200 workers</v>
      </c>
      <c r="N55" s="615" t="str">
        <f>REPT("|",DASHBOARD!J22/100)</f>
        <v>||||||||||||||||||||||||||||||||||</v>
      </c>
    </row>
    <row r="56" spans="3:31" ht="15" outlineLevel="1">
      <c r="E56" s="620" t="s">
        <v>854</v>
      </c>
      <c r="N56" s="621" t="str">
        <f>REPT("|",DASHBOARD!K22/100)</f>
        <v>||||||||||||||||||||||||</v>
      </c>
    </row>
    <row r="57" spans="3:31" ht="15" outlineLevel="1">
      <c r="D57" s="66" t="str">
        <f>DASHBOARD!G23</f>
        <v>Front Line Health Workers working in facilities with fewer than 100 workers</v>
      </c>
      <c r="N57" s="615" t="str">
        <f>REPT("|",DASHBOARD!J23/100)</f>
        <v>||||||||||||||||||||||||||||||||||||||||||||||||||||||||||||||||||||||</v>
      </c>
    </row>
    <row r="58" spans="3:31" ht="15" outlineLevel="1">
      <c r="E58" s="620" t="s">
        <v>854</v>
      </c>
      <c r="N58" s="621" t="str">
        <f>REPT("|",DASHBOARD!K23/100)</f>
        <v>|||||||||||||||||||||||||||||||||||||||||||||||||</v>
      </c>
    </row>
    <row r="59" spans="3:31" ht="15">
      <c r="D59" s="509" t="str">
        <f>DASHBOARD!G24</f>
        <v>All Target Group 1</v>
      </c>
      <c r="N59" s="615" t="str">
        <f>REPT("|",DASHBOARD!J24/100)</f>
        <v>|||||||||||||||||||||||||||||||||||||||||||||||||||||||||||||||||||||||||||||||||||||||||||||||||||||||||||||||||||||||||||||||||||||||||||</v>
      </c>
      <c r="AC59" s="512">
        <f>DASHBOARD!J24</f>
        <v>13917</v>
      </c>
    </row>
    <row r="60" spans="3:31" ht="15">
      <c r="E60" s="624" t="s">
        <v>854</v>
      </c>
      <c r="N60" s="621" t="str">
        <f>REPT("|",DASHBOARD!K24/100)</f>
        <v>||||||||||||||||||||||||||||||||||||||||||||||||||||||||||||||||||||||||||||||||||||||||||</v>
      </c>
      <c r="AC60" s="512">
        <f>DASHBOARD!K24</f>
        <v>9048.2999999999993</v>
      </c>
    </row>
    <row r="61" spans="3:31">
      <c r="C61" s="509" t="str">
        <f>DASHBOARD!F25</f>
        <v>Target Group 2 [not in use]</v>
      </c>
    </row>
    <row r="62" spans="3:31" ht="15" outlineLevel="1">
      <c r="D62" s="66">
        <f>DASHBOARD!G26</f>
        <v>0</v>
      </c>
      <c r="N62" s="622" t="str">
        <f>REPT("|",DASHBOARD!J26/100)</f>
        <v/>
      </c>
      <c r="AC62" s="512">
        <f>DASHBOARD!J26</f>
        <v>0</v>
      </c>
    </row>
    <row r="63" spans="3:31" ht="15" outlineLevel="1">
      <c r="E63" s="620" t="s">
        <v>854</v>
      </c>
      <c r="N63" s="623" t="str">
        <f>REPT("|",DASHBOARD!K26/100)</f>
        <v/>
      </c>
      <c r="AC63" s="512">
        <f>DASHBOARD!K26</f>
        <v>0</v>
      </c>
    </row>
    <row r="64" spans="3:31" ht="15" outlineLevel="1">
      <c r="D64" s="66">
        <f>DASHBOARD!G27</f>
        <v>0</v>
      </c>
      <c r="N64" s="622" t="str">
        <f>REPT("|",DASHBOARD!J27/100)</f>
        <v/>
      </c>
    </row>
    <row r="65" spans="3:29" ht="15" outlineLevel="1">
      <c r="E65" s="620" t="s">
        <v>854</v>
      </c>
      <c r="N65" s="623" t="str">
        <f>REPT("|",DASHBOARD!K27/100)</f>
        <v/>
      </c>
    </row>
    <row r="66" spans="3:29" ht="15">
      <c r="D66" s="509" t="str">
        <f>DASHBOARD!G28</f>
        <v>All Target Group 2 [not in use]</v>
      </c>
      <c r="N66" s="622" t="str">
        <f>REPT("|",DASHBOARD!J28/100)</f>
        <v/>
      </c>
      <c r="AC66" s="512">
        <f>DASHBOARD!J28</f>
        <v>0</v>
      </c>
    </row>
    <row r="67" spans="3:29" ht="15">
      <c r="E67" s="624" t="s">
        <v>854</v>
      </c>
      <c r="N67" s="623" t="str">
        <f>REPT("|",DASHBOARD!K28/100)</f>
        <v/>
      </c>
      <c r="AC67" s="512">
        <f>DASHBOARD!K28</f>
        <v>0</v>
      </c>
    </row>
    <row r="68" spans="3:29">
      <c r="C68" s="509" t="str">
        <f>DASHBOARD!F29</f>
        <v>Target Group 3 [not in use]</v>
      </c>
    </row>
    <row r="69" spans="3:29" ht="15" outlineLevel="1">
      <c r="D69" s="66">
        <f>DASHBOARD!G30</f>
        <v>0</v>
      </c>
      <c r="N69" s="616" t="str">
        <f>REPT("|",DASHBOARD!J30/100)</f>
        <v/>
      </c>
    </row>
    <row r="70" spans="3:29" ht="15" outlineLevel="1">
      <c r="D70" s="66">
        <f>DASHBOARD!G31</f>
        <v>0</v>
      </c>
      <c r="N70" s="617" t="str">
        <f>REPT("|",DASHBOARD!J31/100)</f>
        <v/>
      </c>
    </row>
    <row r="71" spans="3:29" ht="15">
      <c r="D71" s="509" t="str">
        <f>DASHBOARD!G32</f>
        <v>All Target Group 3 [not in use]</v>
      </c>
      <c r="N71" s="618" t="str">
        <f>REPT("|",DASHBOARD!J32/100)</f>
        <v/>
      </c>
    </row>
    <row r="72" spans="3:29" ht="15">
      <c r="E72" s="624" t="s">
        <v>854</v>
      </c>
      <c r="N72" s="619" t="str">
        <f>REPT("|",DASHBOARD!K32/100)</f>
        <v/>
      </c>
    </row>
    <row r="73" spans="3:29">
      <c r="C73" s="509" t="str">
        <f>DASHBOARD!F33</f>
        <v>Target Group 4 [not in use]</v>
      </c>
    </row>
    <row r="74" spans="3:29" ht="15" outlineLevel="1">
      <c r="D74" s="66">
        <f>DASHBOARD!G34</f>
        <v>0</v>
      </c>
      <c r="N74" s="616" t="str">
        <f>REPT("|",DASHBOARD!J34/100)</f>
        <v/>
      </c>
    </row>
    <row r="75" spans="3:29" ht="15" outlineLevel="1">
      <c r="D75" s="66">
        <f>DASHBOARD!G35</f>
        <v>0</v>
      </c>
      <c r="N75" s="617" t="str">
        <f>REPT("|",DASHBOARD!J35/100)</f>
        <v/>
      </c>
    </row>
    <row r="76" spans="3:29" ht="15" outlineLevel="1">
      <c r="D76" s="66">
        <f>DASHBOARD!G36</f>
        <v>0</v>
      </c>
      <c r="N76" s="616" t="str">
        <f>REPT("|",DASHBOARD!J36/100)</f>
        <v/>
      </c>
    </row>
    <row r="77" spans="3:29" ht="15" outlineLevel="1">
      <c r="D77" s="66">
        <f>DASHBOARD!G37</f>
        <v>0</v>
      </c>
      <c r="N77" s="615" t="str">
        <f>REPT("|",DASHBOARD!J37/100)</f>
        <v/>
      </c>
    </row>
    <row r="78" spans="3:29" ht="15" outlineLevel="1">
      <c r="D78" s="66">
        <f>DASHBOARD!G38</f>
        <v>0</v>
      </c>
      <c r="N78" s="617" t="str">
        <f>REPT("|",DASHBOARD!J38/100)</f>
        <v/>
      </c>
    </row>
    <row r="79" spans="3:29" ht="15">
      <c r="D79" s="509" t="str">
        <f>DASHBOARD!G39</f>
        <v>All Target Group 4 [not in use]</v>
      </c>
      <c r="N79" s="618" t="str">
        <f>REPT("|",DASHBOARD!J39/100)</f>
        <v/>
      </c>
    </row>
    <row r="80" spans="3:29" ht="15">
      <c r="E80" s="624" t="s">
        <v>854</v>
      </c>
      <c r="N80" s="619" t="str">
        <f>REPT("|",DASHBOARD!K39/100)</f>
        <v/>
      </c>
    </row>
  </sheetData>
  <mergeCells count="6">
    <mergeCell ref="J4:K4"/>
    <mergeCell ref="B3:F3"/>
    <mergeCell ref="B4:C4"/>
    <mergeCell ref="D4:E4"/>
    <mergeCell ref="F4:G4"/>
    <mergeCell ref="H4:I4"/>
  </mergeCells>
  <dataValidations disablePrompts="1" count="2">
    <dataValidation type="whole" showDropDown="1" showErrorMessage="1" errorTitle="Drop Down Box Cell Link" error="The value in a drop down box cell link must be a whole number within the control's lookup range rows." sqref="M33" xr:uid="{00000000-0002-0000-0600-000000000000}">
      <formula1>1</formula1>
      <formula2>ROWS(LU_FLU_Recurrent_Cost_Line_Items)</formula2>
    </dataValidation>
    <dataValidation type="whole" showDropDown="1" showErrorMessage="1" errorTitle="Drop Down Box Cell Link" error="The value in a drop down box cell link must be a whole number within the control's lookup range rows." sqref="J28" xr:uid="{00000000-0002-0000-0600-000001000000}">
      <formula1>1</formula1>
      <formula2>ROWS(LU_FLU_Curr_Code)</formula2>
    </dataValidation>
  </dataValidations>
  <hyperlinks>
    <hyperlink ref="A4" location="$B$5" tooltip="Go to Top of Sheet" display="$B$5" xr:uid="{00000000-0004-0000-0600-000000000000}"/>
    <hyperlink ref="D4" location="HL_Sheet_Main_26" tooltip="Go to Next Sheet" display="HL_Sheet_Main_26" xr:uid="{00000000-0004-0000-0600-000001000000}"/>
    <hyperlink ref="B4" location="HL_Sheet_Main_36" tooltip="Go to Previous Sheet" display="HL_Sheet_Main_36" xr:uid="{00000000-0004-0000-0600-000002000000}"/>
    <hyperlink ref="B3" location="HL_Home" tooltip="Go to Table of Contents" display="HL_Home" xr:uid="{00000000-0004-0000-0600-000003000000}"/>
    <hyperlink ref="F4" location="HL_Err_Chk" tooltip="Go to Error Checks" display="HL_Err_Chk" xr:uid="{00000000-0004-0000-0600-000004000000}"/>
    <hyperlink ref="H4" location="HL_Sens_Chk" tooltip="Go to Sensitivity Checks" display="HL_Sens_Chk" xr:uid="{00000000-0004-0000-0600-000005000000}"/>
    <hyperlink ref="J4" location="HL_Alt_Chk" tooltip="Go to Alert Checks" display="HL_Alt_Chk" xr:uid="{00000000-0004-0000-0600-000006000000}"/>
  </hyperlinks>
  <pageMargins left="0.39370078740157499" right="0.39370078740157499" top="0.59055118110236204" bottom="0.98425196850393704" header="0" footer="0.31496062992126"/>
  <pageSetup orientation="landscape" horizontalDpi="0"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7969" r:id="rId4" name="Drop Down 1">
              <controlPr defaultSize="0" autoFill="0" autoPict="0">
                <anchor moveWithCells="1">
                  <from>
                    <xdr:col>11</xdr:col>
                    <xdr:colOff>830580</xdr:colOff>
                    <xdr:row>33</xdr:row>
                    <xdr:rowOff>99060</xdr:rowOff>
                  </from>
                  <to>
                    <xdr:col>13</xdr:col>
                    <xdr:colOff>1569720</xdr:colOff>
                    <xdr:row>34</xdr:row>
                    <xdr:rowOff>99060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autoPageBreaks="0"/>
  </sheetPr>
  <dimension ref="A1:L84"/>
  <sheetViews>
    <sheetView showGridLines="0" zoomScaleNormal="100" workbookViewId="0">
      <pane xSplit="3" ySplit="6" topLeftCell="D7" activePane="bottomRight" state="frozen"/>
      <selection pane="topRight" activeCell="D1" sqref="D1"/>
      <selection pane="bottomLeft" activeCell="A10" sqref="A10"/>
      <selection pane="bottomRight"/>
    </sheetView>
  </sheetViews>
  <sheetFormatPr defaultColWidth="2.44140625" defaultRowHeight="14.4"/>
  <cols>
    <col min="1" max="1" width="3.6640625" style="66" customWidth="1"/>
    <col min="2" max="2" width="4.77734375" style="66" customWidth="1"/>
    <col min="3" max="3" width="2.44140625" style="66" customWidth="1"/>
    <col min="4" max="4" width="45.33203125" style="66" customWidth="1"/>
    <col min="5" max="5" width="24.77734375" style="66" customWidth="1"/>
    <col min="6" max="6" width="17" style="66" customWidth="1"/>
    <col min="7" max="7" width="15.6640625" style="66" customWidth="1"/>
    <col min="8" max="8" width="17" style="66" customWidth="1"/>
    <col min="9" max="9" width="16.109375" style="66" customWidth="1"/>
    <col min="10" max="10" width="11.88671875" style="66" customWidth="1"/>
    <col min="11" max="11" width="13.33203125" style="66" customWidth="1"/>
    <col min="12" max="12" width="21" style="66" customWidth="1"/>
    <col min="13" max="13" width="2.44140625" style="66" customWidth="1"/>
    <col min="14" max="16384" width="2.44140625" style="66"/>
  </cols>
  <sheetData>
    <row r="1" spans="1:12" ht="21">
      <c r="B1" s="101" t="s">
        <v>789</v>
      </c>
      <c r="F1" s="529" t="str">
        <f>FLU_LU!$D$78</f>
        <v>USD</v>
      </c>
      <c r="G1" s="529" t="str">
        <f>FLU_LU!$D$78</f>
        <v>USD</v>
      </c>
      <c r="H1" s="529" t="str">
        <f>FLU_LU!$D$79</f>
        <v>GOZ</v>
      </c>
      <c r="I1" s="529" t="str">
        <f>FLU_LU!$D$79</f>
        <v>GOZ</v>
      </c>
    </row>
    <row r="2" spans="1:12" ht="18">
      <c r="B2" s="75" t="str">
        <f>Model_Name</f>
        <v>Seasonal Influenza Immunization Costing Tool (SIICT)  - Test Country</v>
      </c>
      <c r="E2" s="533"/>
      <c r="F2" s="530" t="str">
        <f>FLU_LU!$D$294</f>
        <v>Financial</v>
      </c>
      <c r="G2" s="530" t="str">
        <f>FLU_LU!$D$295</f>
        <v>Economic</v>
      </c>
      <c r="H2" s="530" t="str">
        <f>FLU_LU!$D$294</f>
        <v>Financial</v>
      </c>
      <c r="I2" s="530" t="str">
        <f>FLU_LU!$D$295</f>
        <v>Economic</v>
      </c>
    </row>
    <row r="3" spans="1:12" ht="18.600000000000001" thickBot="1">
      <c r="B3" s="695" t="s">
        <v>1</v>
      </c>
      <c r="C3" s="695"/>
      <c r="D3" s="695"/>
      <c r="E3" s="533"/>
      <c r="F3" s="531">
        <f ca="1">SUM(F49,F64,F80)</f>
        <v>95121.303333333344</v>
      </c>
      <c r="G3" s="531">
        <f ca="1">SUM(G49,G64,G80)</f>
        <v>125063.57626990158</v>
      </c>
      <c r="H3" s="532">
        <f ca="1">SUM(H49,H64,H80)</f>
        <v>14268195.5</v>
      </c>
      <c r="I3" s="532">
        <f ca="1">SUM(I49,I64,I80)</f>
        <v>18759536.440485235</v>
      </c>
      <c r="J3" s="118"/>
    </row>
    <row r="4" spans="1:12" ht="15" thickTop="1">
      <c r="A4" s="67" t="s">
        <v>3</v>
      </c>
      <c r="B4" s="711" t="s">
        <v>4</v>
      </c>
      <c r="C4" s="711"/>
      <c r="D4" s="712" t="s">
        <v>5</v>
      </c>
      <c r="E4" s="712"/>
      <c r="F4" s="712"/>
      <c r="G4" s="697" t="s">
        <v>26</v>
      </c>
      <c r="H4" s="697"/>
      <c r="I4" s="697"/>
      <c r="J4" s="697"/>
      <c r="K4" s="713"/>
      <c r="L4" s="713"/>
    </row>
    <row r="5" spans="1:12">
      <c r="C5" s="509" t="s">
        <v>782</v>
      </c>
      <c r="F5" s="510" t="str">
        <f>FLU_LU!$D$78</f>
        <v>USD</v>
      </c>
      <c r="G5" s="510" t="str">
        <f>FLU_LU!$D$78</f>
        <v>USD</v>
      </c>
      <c r="H5" s="510" t="str">
        <f>FLU_LU!$D$79</f>
        <v>GOZ</v>
      </c>
      <c r="I5" s="510" t="str">
        <f>FLU_LU!$D$79</f>
        <v>GOZ</v>
      </c>
    </row>
    <row r="6" spans="1:12">
      <c r="D6" s="66" t="s">
        <v>781</v>
      </c>
      <c r="F6" s="396" t="str">
        <f>FLU_LU!$D$294</f>
        <v>Financial</v>
      </c>
      <c r="G6" s="396" t="str">
        <f>FLU_LU!$D$295</f>
        <v>Economic</v>
      </c>
      <c r="H6" s="396" t="str">
        <f>FLU_LU!$D$294</f>
        <v>Financial</v>
      </c>
      <c r="I6" s="396" t="str">
        <f>FLU_LU!$D$295</f>
        <v>Economic</v>
      </c>
    </row>
    <row r="7" spans="1:12" ht="18">
      <c r="B7" s="511" t="s">
        <v>790</v>
      </c>
      <c r="F7" s="396"/>
      <c r="G7" s="396"/>
      <c r="H7" s="396"/>
      <c r="I7" s="396"/>
    </row>
    <row r="8" spans="1:12">
      <c r="F8" s="396"/>
      <c r="G8" s="396"/>
      <c r="H8" s="396"/>
      <c r="I8" s="396"/>
    </row>
    <row r="9" spans="1:12" ht="18">
      <c r="C9" s="511" t="str">
        <f>HL_FLU_Preparation_Outputs&amp;" Activities"</f>
        <v>Microplanning Activities</v>
      </c>
      <c r="E9" s="510" t="s">
        <v>811</v>
      </c>
    </row>
    <row r="10" spans="1:12">
      <c r="D10" s="508" t="str">
        <f>MICRO!C24</f>
        <v>Develop Annual Influenza Programme Plan and Budget</v>
      </c>
      <c r="E10" s="513">
        <f>MICRO!J39</f>
        <v>1</v>
      </c>
      <c r="F10" s="516">
        <f>$E10*IF(DD_FLU_MICRO_1=1,MICRO!J28,MICRO!J28/FLU_XCHANGE_YR1)</f>
        <v>146.72</v>
      </c>
      <c r="G10" s="516">
        <f>$E10*IF(DD_FLU_MICRO_1=1,MICRO!J29,MICRO!J29/FLU_XCHANGE_YR1)</f>
        <v>861.86666666666667</v>
      </c>
      <c r="H10" s="514">
        <f>$E10*IF(DD_FLU_MICRO_1=2,MICRO!J28,MICRO!J28*FLU_XCHANGE_YR1)</f>
        <v>22008</v>
      </c>
      <c r="I10" s="514">
        <f>$E10*IF(DD_FLU_MICRO_1=2,MICRO!J29,MICRO!J29*FLU_XCHANGE_YR1)</f>
        <v>129280</v>
      </c>
    </row>
    <row r="11" spans="1:12" ht="28.8">
      <c r="D11" s="508" t="str">
        <f>MICRO!C52</f>
        <v>IPH meets w/ District Epidemiologists to Prepare for Flu Vaccination Activities</v>
      </c>
      <c r="E11" s="513">
        <f>MICRO!J67</f>
        <v>2</v>
      </c>
      <c r="F11" s="516">
        <f>$E11*IF(DD_FLU_MICRO_B_CURRENCY=1,MICRO!J56,MICRO!J56/FLU_XCHANGE_YR1)</f>
        <v>400</v>
      </c>
      <c r="G11" s="516">
        <f>$E11*IF(DD_FLU_MICRO_B_CURRENCY=1,MICRO!J57,MICRO!J57/FLU_XCHANGE_YR1)</f>
        <v>800</v>
      </c>
      <c r="H11" s="514">
        <f>$E11*IF(DD_FLU_MICRO_B_CURRENCY=2,MICRO!J56,MICRO!J56*FLU_XCHANGE_YR1)</f>
        <v>60000</v>
      </c>
      <c r="I11" s="514">
        <f>$E11*IF(DD_FLU_MICRO_B_CURRENCY=2,MICRO!J57,MICRO!J57*FLU_XCHANGE_YR1)</f>
        <v>120000</v>
      </c>
    </row>
    <row r="12" spans="1:12">
      <c r="D12" s="508" t="str">
        <f>MICRO!C80</f>
        <v>[Available for Additional Microplanning Activity]</v>
      </c>
      <c r="E12" s="513">
        <f>MICRO!J95</f>
        <v>0</v>
      </c>
      <c r="F12" s="516">
        <f>$E12*IF(DD_FLU_MICRO_B_CURRENCY=1,MICRO!J84,MICRO!J84/FLU_XCHANGE_YR1)</f>
        <v>0</v>
      </c>
      <c r="G12" s="516">
        <f>$E12*IF(DD_FLU_MicroC_Currency=1,MICRO!J85,MICRO!J85/FLU_XCHANGE_YR1)</f>
        <v>0</v>
      </c>
      <c r="H12" s="514">
        <f>$E12*IF(DD_FLU_MicroC_Currency=2,MICRO!J84,MICRO!J84*FLU_XCHANGE_YR1)</f>
        <v>0</v>
      </c>
      <c r="I12" s="514">
        <f>$E12*IF(DD_FLU_MicroC_Currency=2,MICRO!J85,MICRO!J85*FLU_XCHANGE_YR1)</f>
        <v>0</v>
      </c>
    </row>
    <row r="13" spans="1:12">
      <c r="D13" s="508"/>
      <c r="E13" s="513"/>
      <c r="F13" s="517">
        <f>SUM(F10:F12)</f>
        <v>546.72</v>
      </c>
      <c r="G13" s="517">
        <f>SUM(G10:G12)</f>
        <v>1661.8666666666668</v>
      </c>
      <c r="H13" s="515">
        <f>SUM(H10:H12)</f>
        <v>82008</v>
      </c>
      <c r="I13" s="515">
        <f>SUM(I10:I12)</f>
        <v>249280</v>
      </c>
    </row>
    <row r="14" spans="1:12" ht="18">
      <c r="C14" s="511" t="str">
        <f>HL_FLU_Distribution&amp;" Activities"</f>
        <v>Distribution Activities</v>
      </c>
      <c r="D14" s="508"/>
      <c r="E14" s="510" t="s">
        <v>811</v>
      </c>
    </row>
    <row r="15" spans="1:12">
      <c r="D15" s="508" t="str">
        <f>DISTRIB!C26</f>
        <v>Plan and prepare for distribution.</v>
      </c>
      <c r="E15" s="513">
        <f>DISTRIB!J41</f>
        <v>1</v>
      </c>
      <c r="F15" s="516">
        <f>$E15*IF(DD_FLU_DISTR_A_CURRENCY=1,DISTRIB!J31,DISTRIB!J31/FLU_XCHANGE_YR1)</f>
        <v>0</v>
      </c>
      <c r="G15" s="516">
        <f>$E15*IF(DD_FLU_DISTR_A_CURRENCY=1,DISTRIB!J32,DISTRIB!J32/FLU_XCHANGE_YR1)</f>
        <v>318.20666666666665</v>
      </c>
      <c r="H15" s="514">
        <f>$E15*IF(DD_FLU_DISTR_A_CURRENCY=2,DISTRIB!J31,DISTRIB!J31*FLU_XCHANGE_YR1)</f>
        <v>0</v>
      </c>
      <c r="I15" s="514">
        <f>$E15*IF(DD_FLU_DISTR_A_CURRENCY=2,DISTRIB!J32,DISTRIB!J32*FLU_XCHANGE_YR1)</f>
        <v>47731</v>
      </c>
    </row>
    <row r="16" spans="1:12" ht="18" customHeight="1">
      <c r="D16" s="508" t="str">
        <f>DISTRIB!C56</f>
        <v>Distribute Vacc Materials from IPH to 12 Directorates</v>
      </c>
      <c r="E16" s="513">
        <f>DISTRIB!J71</f>
        <v>1</v>
      </c>
      <c r="F16" s="516">
        <f ca="1">$E16*IF(DD_FLU_DISTR_B_CURRENCY=1,DISTRIB!J61,DISTRIB!J61/FLU_XCHANGE_YR1)</f>
        <v>1837.3333333333333</v>
      </c>
      <c r="G16" s="516">
        <f ca="1">$E16*IF(DD_FLU_DISTR_B_CURRENCY=1,DISTRIB!J62,DISTRIB!J62/FLU_XCHANGE_YR1)</f>
        <v>2787.3328181818183</v>
      </c>
      <c r="H16" s="514">
        <f ca="1">$E16*IF(DD_FLU_DISTR_B_CURRENCY=2,DISTRIB!J61,DISTRIB!J61*FLU_XCHANGE_YR1)</f>
        <v>275600</v>
      </c>
      <c r="I16" s="514">
        <f ca="1">$E16*IF(DD_FLU_DISTR_B_CURRENCY=2,DISTRIB!J62,DISTRIB!J62*FLU_XCHANGE_YR1)</f>
        <v>418099.92272727273</v>
      </c>
    </row>
    <row r="17" spans="3:9" ht="28.5" customHeight="1">
      <c r="D17" s="508" t="str">
        <f>DISTRIB!C84</f>
        <v>Distribute Vacc Materials from 12 Directorates to Health Facilities</v>
      </c>
      <c r="E17" s="513">
        <f>DISTRIB!J100</f>
        <v>1</v>
      </c>
      <c r="F17" s="516">
        <f ca="1">$E17*IF(DD_FLU_DISTR_C_CURRENCY=1,DISTRIB!J89,DISTRIB!J89/FLU_XCHANGE_YR1)</f>
        <v>0</v>
      </c>
      <c r="G17" s="516">
        <f ca="1">$E17*IF(DD_FLU_DISTR_C_CURRENCY=1,DISTRIB!J90,DISTRIB!J90/FLU_XCHANGE_YR1)</f>
        <v>7161.136363636364</v>
      </c>
      <c r="H17" s="514">
        <f ca="1">$E17*IF(DD_FLU_DISTR_C_CURRENCY=2,DISTRIB!J89,DISTRIB!J89*FLU_XCHANGE_YR1)</f>
        <v>0</v>
      </c>
      <c r="I17" s="514">
        <f ca="1">$E17*IF(DD_FLU_DISTR_C_CURRENCY=2,DISTRIB!J90,DISTRIB!J90*FLU_XCHANGE_YR1)</f>
        <v>1074170.4545454546</v>
      </c>
    </row>
    <row r="18" spans="3:9">
      <c r="D18" s="508"/>
      <c r="E18" s="513"/>
      <c r="F18" s="517">
        <f ca="1">SUM(F15:F17)</f>
        <v>1837.3333333333333</v>
      </c>
      <c r="G18" s="517">
        <f ca="1">SUM(G15:G17)</f>
        <v>10266.675848484849</v>
      </c>
      <c r="H18" s="515">
        <f ca="1">SUM(H15:H17)</f>
        <v>275600</v>
      </c>
      <c r="I18" s="515">
        <f ca="1">SUM(I15:I17)</f>
        <v>1540001.3772727274</v>
      </c>
    </row>
    <row r="19" spans="3:9" ht="18">
      <c r="C19" s="511" t="str">
        <f>TRAIN!B12&amp;" Activities"</f>
        <v>Training Activities</v>
      </c>
      <c r="D19" s="508"/>
      <c r="E19" s="510" t="s">
        <v>811</v>
      </c>
    </row>
    <row r="20" spans="3:9">
      <c r="D20" s="508" t="str">
        <f>HL_FLU_Training_General_A</f>
        <v>Public Health Directorate Training</v>
      </c>
      <c r="E20" s="513">
        <f>TRAIN!J38</f>
        <v>1</v>
      </c>
      <c r="F20" s="516">
        <f>$E20*IF(DD_FLU_TRAIN_A_CURRENCY=1,TRAIN!J28,TRAIN!J28/FLU_XCHANGE_YR1)</f>
        <v>66.666666666666671</v>
      </c>
      <c r="G20" s="516">
        <f>$E20*IF(DD_FLU_TRAIN_A_CURRENCY=1,TRAIN!J29,TRAIN!J29/FLU_XCHANGE_YR1)</f>
        <v>100</v>
      </c>
      <c r="H20" s="514">
        <f>$E20*IF(DD_FLU_TRAIN_A_CURRENCY=2,TRAIN!J28,TRAIN!J28*FLU_XCHANGE_YR1)</f>
        <v>10000</v>
      </c>
      <c r="I20" s="514">
        <f>$E20*IF(DD_FLU_TRAIN_A_CURRENCY=2,TRAIN!J29,TRAIN!J29*FLU_XCHANGE_YR1)</f>
        <v>15000</v>
      </c>
    </row>
    <row r="21" spans="3:9" ht="28.8">
      <c r="D21" s="508" t="str">
        <f>TRAIN!C50</f>
        <v>District Epidemiologists Meet w/ Health Facility Teams to Prepare</v>
      </c>
      <c r="E21" s="513">
        <f>TRAIN!J65</f>
        <v>1</v>
      </c>
      <c r="F21" s="516">
        <f>$E21*IF(DD_FLU_TRAIN_B_CURRENCY=1,TRAIN!J55,TRAIN!J55/FLU_XCHANGE_YR1)</f>
        <v>146.74</v>
      </c>
      <c r="G21" s="516">
        <f>$E21*IF(DD_FLU_TRAIN_B_CURRENCY=1,TRAIN!J56,TRAIN!J56/FLU_XCHANGE_YR1)</f>
        <v>270.74666666666667</v>
      </c>
      <c r="H21" s="514">
        <f>$E21*IF(DD_FLU_TRAIN_B_CURRENCY=2,TRAIN!J55,TRAIN!J55*FLU_XCHANGE_YR1)</f>
        <v>22011</v>
      </c>
      <c r="I21" s="514">
        <f>$E21*IF(DD_FLU_TRAIN_B_CURRENCY=2,TRAIN!J56,TRAIN!J56*FLU_XCHANGE_YR1)</f>
        <v>40612</v>
      </c>
    </row>
    <row r="22" spans="3:9">
      <c r="D22" s="508" t="str">
        <f>TRAIN!C77</f>
        <v>[Available for Additional Training Activity]</v>
      </c>
      <c r="E22" s="513">
        <f>TRAIN!J91</f>
        <v>0</v>
      </c>
      <c r="F22" s="516">
        <f>$E22*IF(DD_FLU_TRAIN_C_CURRENCY=1,TRAIN!J82,TRAIN!J82/FLU_XCHANGE_YR1)</f>
        <v>0</v>
      </c>
      <c r="G22" s="516">
        <f>$E22*IF(DD_FLU_TRAIN_C_CURRENCY=1,TRAIN!J83,TRAIN!J83/FLU_XCHANGE_YR1)</f>
        <v>0</v>
      </c>
      <c r="H22" s="514">
        <f>$E22*IF(DD_FLU_TRAIN_C_CURRENCY=2,TRAIN!J82,TRAIN!J82*FLU_XCHANGE_YR1)</f>
        <v>0</v>
      </c>
      <c r="I22" s="514">
        <f>$E22*IF(DD_FLU_TRAIN_C_CURRENCY=2,TRAIN!J83,TRAIN!J83*FLU_XCHANGE_YR1)</f>
        <v>0</v>
      </c>
    </row>
    <row r="23" spans="3:9">
      <c r="E23" s="512"/>
      <c r="F23" s="517">
        <f>SUM(F20:F22)</f>
        <v>213.40666666666669</v>
      </c>
      <c r="G23" s="517">
        <f>SUM(G20:G22)</f>
        <v>370.74666666666667</v>
      </c>
      <c r="H23" s="515">
        <f>SUM(H20:H22)</f>
        <v>32011</v>
      </c>
      <c r="I23" s="515">
        <f>SUM(I20:I22)</f>
        <v>55612</v>
      </c>
    </row>
    <row r="24" spans="3:9" ht="18">
      <c r="C24" s="511" t="str">
        <f>IEC!B12&amp;" Activities"</f>
        <v>Social Mobilisation / IEC Activities</v>
      </c>
      <c r="E24" s="510" t="s">
        <v>811</v>
      </c>
    </row>
    <row r="25" spans="3:9">
      <c r="D25" s="66" t="str">
        <f>IEC!C23</f>
        <v>Media relations established</v>
      </c>
      <c r="E25" s="512">
        <f>IEC!J38</f>
        <v>1</v>
      </c>
      <c r="F25" s="516">
        <f>$E25*IF(DD_FLU_IEC_A_CURRENCY=1,IEC!J28,IEC!J28/FLU_XCHANGE_YR1)</f>
        <v>66.666666666666671</v>
      </c>
      <c r="G25" s="516">
        <f>$E25*IF(DD_FLU_IEC_A_CURRENCY=1,IEC!J29,IEC!J29/FLU_XCHANGE_YR1)</f>
        <v>100</v>
      </c>
      <c r="H25" s="514">
        <f>$E25*IF(DD_FLU_IEC_A_CURRENCY=2,IEC!J28,IEC!J28*FLU_XCHANGE_YR1)</f>
        <v>10000</v>
      </c>
      <c r="I25" s="514">
        <f>$E25*IF(DD_FLU_IEC_A_CURRENCY=2,IEC!J29,IEC!J29*FLU_XCHANGE_YR1)</f>
        <v>15000</v>
      </c>
    </row>
    <row r="26" spans="3:9">
      <c r="D26" s="66" t="str">
        <f>IEC!C50</f>
        <v xml:space="preserve">National press release for Health Care Worker vaccination </v>
      </c>
      <c r="E26" s="512">
        <f>IEC!J65</f>
        <v>1</v>
      </c>
      <c r="F26" s="516">
        <f>$E26*IF(DD_FLU_IEC_B_CURRENCY=1,IEC!J55,IEC!J55/FLU_XCHANGE_YR1)</f>
        <v>146.74</v>
      </c>
      <c r="G26" s="516">
        <f>$E26*IF(DD_FLU_IEC_B_CURRENCY=1,IEC!J56,IEC!J56/FLU_XCHANGE_YR1)</f>
        <v>270.74666666666667</v>
      </c>
      <c r="H26" s="514">
        <f>$E26*IF(DD_FLU_IEC_B_CURRENCY=2,IEC!J55,IEC!J55*FLU_XCHANGE_YR1)</f>
        <v>22011</v>
      </c>
      <c r="I26" s="514">
        <f>$E26*IF(DD_FLU_IEC_B_CURRENCY=2,IEC!J56,IEC!J56*FLU_XCHANGE_YR1)</f>
        <v>40612</v>
      </c>
    </row>
    <row r="27" spans="3:9">
      <c r="D27" s="66" t="str">
        <f>IEC!C77</f>
        <v>Media appearances/ interviews  on National  TV and Radio</v>
      </c>
      <c r="E27" s="512">
        <f>IEC!J92</f>
        <v>1</v>
      </c>
      <c r="F27" s="516">
        <f>$E27*IF(DD_FLU_IEC_C_CURRENCY=1,IEC!J82,IEC!J82/FLU_XCHANGE_YR1)</f>
        <v>133.33333333333334</v>
      </c>
      <c r="G27" s="516">
        <f>$E27*IF(DD_FLU_IEC_C_CURRENCY=1,IEC!J83,IEC!J83/FLU_XCHANGE_YR1)</f>
        <v>266.66666666666669</v>
      </c>
      <c r="H27" s="514">
        <f>$E27*IF(DD_FLU_IEC_C_CURRENCY=2,IEC!J82,IEC!J82*FLU_XCHANGE_YR1)</f>
        <v>20000</v>
      </c>
      <c r="I27" s="514">
        <f>$E27*IF(DD_FLU_IEC_C_CURRENCY=2,IEC!J83,IEC!J83*FLU_XCHANGE_YR1)</f>
        <v>40000</v>
      </c>
    </row>
    <row r="28" spans="3:9">
      <c r="E28" s="512"/>
      <c r="F28" s="517">
        <f>SUM(F25:F27)</f>
        <v>346.74</v>
      </c>
      <c r="G28" s="517">
        <f>SUM(G25:G27)</f>
        <v>637.41333333333341</v>
      </c>
      <c r="H28" s="515">
        <f>SUM(H25:H27)</f>
        <v>52011</v>
      </c>
      <c r="I28" s="515">
        <f>SUM(I25:I27)</f>
        <v>95612</v>
      </c>
    </row>
    <row r="29" spans="3:9" ht="18">
      <c r="C29" s="511" t="str">
        <f>SD_IMM!B12</f>
        <v>Immunization Activities</v>
      </c>
      <c r="E29" s="510" t="s">
        <v>811</v>
      </c>
    </row>
    <row r="30" spans="3:9">
      <c r="D30" s="66" t="str">
        <f>HL_FLU_SD_1a</f>
        <v>1a. Routine Immunization by a Facility Nurse</v>
      </c>
      <c r="E30" s="512">
        <f>SD_IMM!J81</f>
        <v>4900</v>
      </c>
      <c r="F30" s="516">
        <f>$E30*IF(DD_FLU_SD_A_CURRENCY=1,SD_IMM!J68,SD_IMM!J68/FLU_XCHANGE_YR1)</f>
        <v>0</v>
      </c>
      <c r="G30" s="516">
        <f>$E30*IF(DD_FLU_SD_A_CURRENCY=1,SD_IMM!J69,SD_IMM!J69/FLU_XCHANGE_YR1)</f>
        <v>1617</v>
      </c>
      <c r="H30" s="514">
        <f>$E30*IF(DD_FLU_SD_A_CURRENCY=2,SD_IMM!J68,SD_IMM!J68*FLU_XCHANGE_YR1)</f>
        <v>0</v>
      </c>
      <c r="I30" s="514">
        <f>$E30*IF(DD_FLU_SD_A_CURRENCY=2,SD_IMM!J69,SD_IMM!J69*FLU_XCHANGE_YR1)</f>
        <v>242550</v>
      </c>
    </row>
    <row r="31" spans="3:9">
      <c r="D31" s="66" t="str">
        <f>HL_FLU_SD_1b</f>
        <v>1b. Routine Immunization by an Home Visit Nurse</v>
      </c>
      <c r="E31" s="512">
        <f>SD_IMM!J153</f>
        <v>0</v>
      </c>
      <c r="F31" s="516">
        <f>$E31*IF(DD_FLU_SD_B_CURRENCY=1,SD_IMM!J137,SD_IMM!J137/FLU_XCHANGE_YR1)</f>
        <v>0</v>
      </c>
      <c r="G31" s="516">
        <f>$E31*IF(DD_FLU_SD_B_CURRENCY=1,SD_IMM!J138,SD_IMM!J138/FLU_XCHANGE_YR1)</f>
        <v>0</v>
      </c>
      <c r="H31" s="514">
        <f>$E31*IF(DD_FLU_SD_B_CURRENCY=2,SD_IMM!J137,SD_IMM!J137*FLU_XCHANGE_YR1)</f>
        <v>0</v>
      </c>
      <c r="I31" s="514">
        <f>$E31*IF(DD_FLU_SD_B_CURRENCY=2,SD_IMM!J138,SD_IMM!J138*FLU_XCHANGE_YR1)</f>
        <v>0</v>
      </c>
    </row>
    <row r="32" spans="3:9">
      <c r="D32" s="66" t="str">
        <f>HL_FLU_SD_1c</f>
        <v>1c. Routine Immunization by a Satellite Outreach Nurse</v>
      </c>
      <c r="E32" s="512">
        <f>SD_IMM!J221</f>
        <v>0</v>
      </c>
      <c r="F32" s="516">
        <f>$E32*IF(DD_FLU_SD_C_CURRENCY=1,SD_IMM!J208,SD_IMM!J208/FLU_XCHANGE_YR1)</f>
        <v>0</v>
      </c>
      <c r="G32" s="516">
        <f>$E32*IF(DD_FLU_SD_C_CURRENCY=1,SD_IMM!J209,SD_IMM!J209/FLU_XCHANGE_YR1)</f>
        <v>0</v>
      </c>
      <c r="H32" s="514">
        <f>$E32*IF(DD_FLU_SD_C_CURRENCY=2,SD_IMM!J208,SD_IMM!J208*FLU_XCHANGE_YR1)</f>
        <v>0</v>
      </c>
      <c r="I32" s="514">
        <f>$E32*IF(DD_FLU_SD_C_CURRENCY=2,SD_IMM!J209,SD_IMM!J209*FLU_XCHANGE_YR1)</f>
        <v>0</v>
      </c>
    </row>
    <row r="33" spans="3:9">
      <c r="D33" s="66" t="str">
        <f>HL_FLU_SD_SIA_2a</f>
        <v>2a. SIA - Team of 2 Nurses - Full Working Day</v>
      </c>
      <c r="E33" s="512">
        <f>SD_IMM!J287</f>
        <v>120.71499999999999</v>
      </c>
      <c r="F33" s="516">
        <f>$E33*IF(DD_FLU_SD_D_CURRENCY=1,SD_IMM!J274,SD_IMM!J274/FLU_XCHANGE_YR1)</f>
        <v>0</v>
      </c>
      <c r="G33" s="516">
        <f>$E33*IF(DD_FLU_SD_D_CURRENCY=1,SD_IMM!J275,SD_IMM!J275/FLU_XCHANGE_YR1)</f>
        <v>5311.4599999999991</v>
      </c>
      <c r="H33" s="514">
        <f>$E33*IF(DD_FLU_SD_D_CURRENCY=2,SD_IMM!J274,SD_IMM!J274*FLU_XCHANGE_YR1)</f>
        <v>0</v>
      </c>
      <c r="I33" s="514">
        <f>$E33*IF(DD_FLU_SD_D_CURRENCY=2,SD_IMM!J275,SD_IMM!J275*FLU_XCHANGE_YR1)</f>
        <v>796718.99999999988</v>
      </c>
    </row>
    <row r="34" spans="3:9">
      <c r="D34" s="66" t="str">
        <f>HL_FLU_SD_SIA_2b</f>
        <v>2b. SIA - Team of 1 Doctor and 1 Nurse - Full Working Day</v>
      </c>
      <c r="E34" s="512">
        <f>SD_IMM!J352</f>
        <v>86.7</v>
      </c>
      <c r="F34" s="516">
        <f>$E34*IF(DD_FLU_SD_E_CURRENCY=1,SD_IMM!J339,SD_IMM!J339/FLU_XCHANGE_YR1)</f>
        <v>0</v>
      </c>
      <c r="G34" s="516">
        <f>$E34*IF(DD_FLU_SD_E_CURRENCY=1,SD_IMM!J340,SD_IMM!J340/FLU_XCHANGE_YR1)</f>
        <v>4595.1000000000004</v>
      </c>
      <c r="H34" s="514">
        <f>$E34*IF(DD_FLU_SD_E_CURRENCY=2,SD_IMM!J339,SD_IMM!J339*FLU_XCHANGE_YR1)</f>
        <v>0</v>
      </c>
      <c r="I34" s="514">
        <f>$E34*IF(DD_FLU_SD_E_CURRENCY=2,SD_IMM!J340,SD_IMM!J340*FLU_XCHANGE_YR1)</f>
        <v>689265</v>
      </c>
    </row>
    <row r="35" spans="3:9">
      <c r="D35" s="66" t="str">
        <f>HL_FLU_SD_SIA_2c</f>
        <v>2c. Service Delivery - Special Immunization Activity Category 3</v>
      </c>
      <c r="E35" s="512">
        <f>SD_IMM!J419</f>
        <v>0</v>
      </c>
      <c r="F35" s="516">
        <f>$E35*IF(DD_FLU_SD_F_CURRENCY=1,SD_IMM!J406,SD_IMM!J406/FLU_XCHANGE_YR1)</f>
        <v>0</v>
      </c>
      <c r="G35" s="516">
        <f>$E35*IF(DD_FLU_SD_F_CURRENCY=1,SD_IMM!J407,SD_IMM!J407/FLU_XCHANGE_YR1)</f>
        <v>0</v>
      </c>
      <c r="H35" s="514">
        <f>$E35*IF(DD_FLU_SD_F_CURRENCY=2,SD_IMM!J406,SD_IMM!J406*FLU_XCHANGE_YR1)</f>
        <v>0</v>
      </c>
      <c r="I35" s="514">
        <f>$E35*IF(DD_FLU_SD_F_CURRENCY=2,SD_IMM!J407,SD_IMM!J407*FLU_XCHANGE_YR1)</f>
        <v>0</v>
      </c>
    </row>
    <row r="36" spans="3:9">
      <c r="E36" s="527">
        <f>SUM(E30:E35)</f>
        <v>5107.415</v>
      </c>
      <c r="F36" s="517">
        <f>SUM(F30:F35)</f>
        <v>0</v>
      </c>
      <c r="G36" s="517">
        <f>SUM(G30:G35)</f>
        <v>11523.56</v>
      </c>
      <c r="H36" s="515">
        <f>SUM(H30:H35)</f>
        <v>0</v>
      </c>
      <c r="I36" s="515">
        <f>SUM(I30:I35)</f>
        <v>1728534</v>
      </c>
    </row>
    <row r="37" spans="3:9" ht="18">
      <c r="C37" s="511" t="str">
        <f>SUPV!B12</f>
        <v>Supervision and Monitoring Activities</v>
      </c>
      <c r="E37" s="510" t="s">
        <v>811</v>
      </c>
    </row>
    <row r="38" spans="3:9">
      <c r="D38" s="66" t="str">
        <f>SUPV!C23</f>
        <v>Supportive Supervision Visit From National to  PHD (district)</v>
      </c>
      <c r="E38" s="512">
        <f>SUPV!J38</f>
        <v>1</v>
      </c>
      <c r="F38" s="516">
        <f>$E38*IF(DD_FLU_SUPV_A_CURRENCY=1,SUPV!J28,SUPV!J28/FLU_XCHANGE_YR1)</f>
        <v>10000</v>
      </c>
      <c r="G38" s="516">
        <f>$E38*IF(DD_FLU_SUPV_A_CURRENCY=1,SUPV!J29,SUPV!J29/FLU_XCHANGE_YR1)</f>
        <v>15000</v>
      </c>
      <c r="H38" s="514">
        <f>$E38*IF(DD_FLU_SUPV_A_CURRENCY=2,SUPV!J28,SUPV!J28*FLU_XCHANGE_YR1)</f>
        <v>1500000</v>
      </c>
      <c r="I38" s="514">
        <f>$E38*IF(DD_FLU_SUPV_A_CURRENCY=2,SUPV!J29,SUPV!J29*FLU_XCHANGE_YR1)</f>
        <v>2250000</v>
      </c>
    </row>
    <row r="39" spans="3:9">
      <c r="D39" s="66" t="str">
        <f>SUPV!C50</f>
        <v xml:space="preserve">Supportive Supervision Visit From   PHD (district) to facility </v>
      </c>
      <c r="E39" s="512">
        <f>SUPV!J65</f>
        <v>1</v>
      </c>
      <c r="F39" s="516">
        <f>$E39*IF(DD_FLU_SUPV_B_CURRENCY=1,SUPV!J55,SUPV!J55/FLU_XCHANGE_YR1)</f>
        <v>146.74</v>
      </c>
      <c r="G39" s="516">
        <f>$E39*IF(DD_FLU_SUPV_B_CURRENCY=1,SUPV!J56,SUPV!J56/FLU_XCHANGE_YR1)</f>
        <v>270.74666666666667</v>
      </c>
      <c r="H39" s="514">
        <f>$E39*IF(DD_FLU_SUPV_B_CURRENCY=2,SUPV!J55,SUPV!J55*FLU_XCHANGE_YR1)</f>
        <v>22011</v>
      </c>
      <c r="I39" s="514">
        <f>$E39*IF(DD_FLU_SUPV_B_CURRENCY=2,SUPV!J56,SUPV!J56*FLU_XCHANGE_YR1)</f>
        <v>40612</v>
      </c>
    </row>
    <row r="40" spans="3:9">
      <c r="D40" s="66" t="str">
        <f>SUPV!C77</f>
        <v>Supervision Category 3</v>
      </c>
      <c r="E40" s="512">
        <f>SUPV!J92</f>
        <v>1</v>
      </c>
      <c r="F40" s="516">
        <f>$E40*IF(DD_FLU_SUPV_C_CURRENCY=1,SUPV!J82,SUPV!J82/FLU_XCHANGE_YR1)</f>
        <v>133.33333333333334</v>
      </c>
      <c r="G40" s="516">
        <f>$E40*IF(DD_FLU_SUPV_C_CURRENCY=1,SUPV!J83,SUPV!J83/FLU_XCHANGE_YR1)</f>
        <v>266.66666666666669</v>
      </c>
      <c r="H40" s="514">
        <f>$E40*IF(DD_FLU_SUPV_C_CURRENCY=2,SUPV!J82,SUPV!J82*FLU_XCHANGE_YR1)</f>
        <v>20000</v>
      </c>
      <c r="I40" s="514">
        <f>$E40*IF(DD_FLU_SUPV_C_CURRENCY=2,SUPV!J83,SUPV!J83*FLU_XCHANGE_YR1)</f>
        <v>40000</v>
      </c>
    </row>
    <row r="41" spans="3:9">
      <c r="E41" s="512"/>
      <c r="F41" s="517">
        <f>SUM(F38:F40)</f>
        <v>10280.073333333334</v>
      </c>
      <c r="G41" s="517">
        <f>SUM(G38:G40)</f>
        <v>15537.413333333332</v>
      </c>
      <c r="H41" s="515">
        <f>SUM(H38:H40)</f>
        <v>1542011</v>
      </c>
      <c r="I41" s="515">
        <f>SUM(I38:I40)</f>
        <v>2330612</v>
      </c>
    </row>
    <row r="42" spans="3:9" ht="18">
      <c r="C42" s="511" t="str">
        <f>HL_FLU_Other_Activities</f>
        <v>Other Activities</v>
      </c>
      <c r="E42" s="510" t="s">
        <v>811</v>
      </c>
    </row>
    <row r="43" spans="3:9">
      <c r="D43" s="66" t="str">
        <f>HL_FLU_Other_Recurrent_Activity_1</f>
        <v>Other Recurrent Activity 1</v>
      </c>
      <c r="E43" s="512">
        <f>Other!J44</f>
        <v>1</v>
      </c>
      <c r="F43" s="516">
        <f>$E43*IF(DD_FLU_OTHER_A_CURRENCY=1,Other!J34,Other!J34/FLU_XCHANGE_YR1)</f>
        <v>0</v>
      </c>
      <c r="G43" s="516">
        <f>$E43*IF(DD_FLU_OTHER_A_CURRENCY=1,Other!J35,Other!J35/FLU_XCHANGE_YR1)</f>
        <v>0</v>
      </c>
      <c r="H43" s="514">
        <f>$E43*IF(DD_FLU_OTHER_A_CURRENCY=2,Other!J34,Other!J34*FLU_XCHANGE_YR1)</f>
        <v>0</v>
      </c>
      <c r="I43" s="514">
        <f>$E43*IF(DD_FLU_OTHER_A_CURRENCY=2,Other!J35,Other!J35*FLU_XCHANGE_YR1)</f>
        <v>0</v>
      </c>
    </row>
    <row r="44" spans="3:9">
      <c r="D44" s="66" t="str">
        <f>HL_FLU_Other_Recurrent_Activity_B</f>
        <v>Other Recurrent Activity 2</v>
      </c>
      <c r="E44" s="512">
        <f>Other!J71</f>
        <v>1</v>
      </c>
      <c r="F44" s="516">
        <f>$E44*IF(DD_FLU_OTHER_B_CURRENCY=1,Other!J61,Other!J61/FLU_XCHANGE_YR1)</f>
        <v>0</v>
      </c>
      <c r="G44" s="516">
        <f>$E44*IF(DD_FLU_OTHER_B_CURRENCY=1,Other!J62,Other!J62/FLU_XCHANGE_YR1)</f>
        <v>0</v>
      </c>
      <c r="H44" s="514">
        <f>$E44*IF(DD_FLU_OTHER_B_CURRENCY=2,Other!J61,Other!J61*FLU_XCHANGE_YR1)</f>
        <v>0</v>
      </c>
      <c r="I44" s="514">
        <f>$E44*IF(DD_FLU_OTHER_B_CURRENCY=2,Other!J62,Other!J62*FLU_XCHANGE_YR1)</f>
        <v>0</v>
      </c>
    </row>
    <row r="45" spans="3:9">
      <c r="D45" s="66" t="str">
        <f>HL_FLU_Other_Recurrent_Activity_C</f>
        <v>Other Recurrent Activity 3</v>
      </c>
      <c r="E45" s="512">
        <f>Other!J98</f>
        <v>1</v>
      </c>
      <c r="F45" s="516">
        <f>$E45*IF(DD_FLU_OTHER_C_CURRENCY=1,Other!J88,Other!J88/FLU_XCHANGE_YR1)</f>
        <v>0</v>
      </c>
      <c r="G45" s="516">
        <f>$E45*IF(DD_FLU_OTHER_C_CURRENCY=1,Other!J89,Other!J89/FLU_XCHANGE_YR1)</f>
        <v>0</v>
      </c>
      <c r="H45" s="514">
        <f>$E45*IF(DD_FLU_OTHER_C_CURRENCY=2,Other!J88,Other!J88*FLU_XCHANGE_YR1)</f>
        <v>0</v>
      </c>
      <c r="I45" s="514">
        <f>$E45*IF(DD_FLU_OTHER_C_CURRENCY=2,Other!J89,Other!J89*FLU_XCHANGE_YR1)</f>
        <v>0</v>
      </c>
    </row>
    <row r="46" spans="3:9">
      <c r="F46" s="517">
        <f>SUM(F43:F45)</f>
        <v>0</v>
      </c>
      <c r="G46" s="517">
        <f>SUM(G43:G45)</f>
        <v>0</v>
      </c>
      <c r="H46" s="515">
        <f>SUM(H43:H45)</f>
        <v>0</v>
      </c>
      <c r="I46" s="515">
        <f>SUM(I43:I45)</f>
        <v>0</v>
      </c>
    </row>
    <row r="49" spans="2:9" ht="18.600000000000001" thickBot="1">
      <c r="B49" s="511" t="s">
        <v>793</v>
      </c>
      <c r="F49" s="531">
        <f ca="1">SUM(F13,F18,F23,F28,F36,F41,F46)</f>
        <v>13224.273333333334</v>
      </c>
      <c r="G49" s="531">
        <f ca="1">SUM(G13,G18,G23,G28,G36,G41,G46)</f>
        <v>39997.675848484847</v>
      </c>
      <c r="H49" s="532">
        <f ca="1">SUM(H13,H18,H23,H28,H36,H41,H46)</f>
        <v>1983641</v>
      </c>
      <c r="I49" s="532">
        <f ca="1">SUM(I13,I18,I23,I28,I36,I41,I46)</f>
        <v>5999651.377272727</v>
      </c>
    </row>
    <row r="50" spans="2:9" ht="15" thickTop="1"/>
    <row r="52" spans="2:9" ht="18">
      <c r="B52" s="511" t="s">
        <v>791</v>
      </c>
    </row>
    <row r="54" spans="2:9" ht="18">
      <c r="C54" s="511" t="str">
        <f>PROCUR!E47</f>
        <v>Vaccines</v>
      </c>
      <c r="E54" s="510" t="s">
        <v>811</v>
      </c>
    </row>
    <row r="55" spans="2:9">
      <c r="D55" s="66" t="str">
        <f>PROCUR!F48</f>
        <v>Single Vaccine Dose in Prefilled Auto-Destruct Syringe</v>
      </c>
      <c r="E55" s="512">
        <f>PROCUR!J111</f>
        <v>21210</v>
      </c>
      <c r="F55" s="516">
        <f>PROCUR!J174</f>
        <v>72345</v>
      </c>
      <c r="G55" s="516">
        <f>PROCUR!J179</f>
        <v>72345</v>
      </c>
      <c r="H55" s="514">
        <f>F55*FLU_BASELINE_XCHANGE_RATE_2</f>
        <v>10851750</v>
      </c>
      <c r="I55" s="514">
        <f>G55*FLU_BASELINE_XCHANGE_RATE_2</f>
        <v>10851750</v>
      </c>
    </row>
    <row r="56" spans="2:9">
      <c r="D56" s="66" t="str">
        <f>PROCUR!F49</f>
        <v>Single Vaccine Dose in Vial</v>
      </c>
      <c r="E56" s="512">
        <f>PROCUR!J112</f>
        <v>318.14999999999998</v>
      </c>
      <c r="F56" s="516">
        <f>PROCUR!J222</f>
        <v>3.7099999999999209</v>
      </c>
      <c r="G56" s="516">
        <f>PROCUR!J227</f>
        <v>1673.2099999999998</v>
      </c>
      <c r="H56" s="514">
        <f>F56*FLU_BASELINE_XCHANGE_RATE_2</f>
        <v>556.49999999998818</v>
      </c>
      <c r="I56" s="514">
        <f>G56*FLU_BASELINE_XCHANGE_RATE_2</f>
        <v>250981.49999999997</v>
      </c>
    </row>
    <row r="57" spans="2:9">
      <c r="E57" s="526">
        <f>SUM(E55:E56)</f>
        <v>21528.15</v>
      </c>
      <c r="F57" s="517">
        <f>SUM(F55:F56)</f>
        <v>72348.710000000006</v>
      </c>
      <c r="G57" s="517">
        <f>SUM(G55:G56)</f>
        <v>74018.210000000006</v>
      </c>
      <c r="H57" s="515">
        <f>SUM(H55:H56)</f>
        <v>10852306.5</v>
      </c>
      <c r="I57" s="515">
        <f>SUM(I55:I56)</f>
        <v>11102731.5</v>
      </c>
    </row>
    <row r="59" spans="2:9" ht="18">
      <c r="C59" s="511" t="str">
        <f>PROCUR!E57</f>
        <v>Injection Supplies</v>
      </c>
      <c r="E59" s="510" t="s">
        <v>811</v>
      </c>
    </row>
    <row r="60" spans="2:9">
      <c r="D60" s="66" t="str">
        <f>PROCUR!F58</f>
        <v>Auto Destruct Injection Syringe</v>
      </c>
      <c r="E60" s="512">
        <f>PROCUR!J115</f>
        <v>318.14999999999998</v>
      </c>
      <c r="F60" s="516">
        <f>PROCUR!J270</f>
        <v>29.68</v>
      </c>
      <c r="G60" s="516">
        <f>PROCUR!J276</f>
        <v>29.68</v>
      </c>
      <c r="H60" s="514">
        <f>F60*FLU_BASELINE_XCHANGE_RATE_2</f>
        <v>4452</v>
      </c>
      <c r="I60" s="514">
        <f>G60*FLU_BASELINE_XCHANGE_RATE_2</f>
        <v>4452</v>
      </c>
    </row>
    <row r="61" spans="2:9">
      <c r="D61" s="66" t="str">
        <f>PROCUR!F59</f>
        <v>Safety Box (100 capacity) to hold administered syringes</v>
      </c>
      <c r="E61" s="512">
        <f>PROCUR!J116</f>
        <v>211</v>
      </c>
      <c r="F61" s="516">
        <f>PROCUR!J320</f>
        <v>8.0399999999999991</v>
      </c>
      <c r="G61" s="516">
        <f>PROCUR!J326</f>
        <v>8.0399999999999991</v>
      </c>
      <c r="H61" s="514">
        <f>F61*FLU_BASELINE_XCHANGE_RATE_2</f>
        <v>1205.9999999999998</v>
      </c>
      <c r="I61" s="514">
        <f>G61*FLU_BASELINE_XCHANGE_RATE_2</f>
        <v>1205.9999999999998</v>
      </c>
    </row>
    <row r="62" spans="2:9">
      <c r="E62" s="526"/>
      <c r="F62" s="517">
        <f>SUM(F60:F61)</f>
        <v>37.72</v>
      </c>
      <c r="G62" s="517">
        <f>SUM(G60:G61)</f>
        <v>37.72</v>
      </c>
      <c r="H62" s="515">
        <f>SUM(H60:H61)</f>
        <v>5658</v>
      </c>
      <c r="I62" s="515">
        <f>SUM(I60:I61)</f>
        <v>5658</v>
      </c>
    </row>
    <row r="64" spans="2:9" ht="18.600000000000001" thickBot="1">
      <c r="B64" s="511" t="s">
        <v>792</v>
      </c>
      <c r="D64" s="516"/>
      <c r="E64" s="516"/>
      <c r="F64" s="531">
        <f>SUM(F57,F62)</f>
        <v>72386.430000000008</v>
      </c>
      <c r="G64" s="531">
        <f>SUM(G57,G62)</f>
        <v>74055.930000000008</v>
      </c>
      <c r="H64" s="532">
        <f>SUM(H57,H62)</f>
        <v>10857964.5</v>
      </c>
      <c r="I64" s="532">
        <f>SUM(I57,I62)</f>
        <v>11108389.5</v>
      </c>
    </row>
    <row r="65" spans="2:9" ht="15" thickTop="1">
      <c r="D65" s="516"/>
      <c r="E65" s="516"/>
      <c r="F65" s="514"/>
      <c r="G65" s="514"/>
    </row>
    <row r="66" spans="2:9">
      <c r="D66" s="516"/>
      <c r="E66" s="516"/>
      <c r="F66" s="514"/>
      <c r="G66" s="514"/>
    </row>
    <row r="67" spans="2:9" ht="18">
      <c r="B67" s="511" t="s">
        <v>794</v>
      </c>
    </row>
    <row r="69" spans="2:9" ht="18">
      <c r="C69" s="511" t="str">
        <f>HL_FLU_Cold_Chain_Expansion</f>
        <v>Cold Chain Expansion</v>
      </c>
    </row>
    <row r="70" spans="2:9">
      <c r="D70" s="66" t="str">
        <f>COLD!F25</f>
        <v>Republic Level Cold Storage Expansion</v>
      </c>
      <c r="F70" s="516">
        <f ca="1">COLD!J122</f>
        <v>119.6</v>
      </c>
      <c r="G70" s="516">
        <f ca="1">COLD!J123</f>
        <v>140.20768589977089</v>
      </c>
      <c r="H70" s="514">
        <f ca="1">COLD!J125</f>
        <v>17940</v>
      </c>
      <c r="I70" s="514">
        <f ca="1">COLD!J126</f>
        <v>21031.152884965635</v>
      </c>
    </row>
    <row r="71" spans="2:9">
      <c r="D71" s="66" t="str">
        <f>COLD!F26</f>
        <v>County Level Cold Storage Expansion</v>
      </c>
      <c r="F71" s="516">
        <f ca="1">COLD!J222</f>
        <v>612</v>
      </c>
      <c r="G71" s="516">
        <f ca="1">COLD!J223</f>
        <v>717.45070042357679</v>
      </c>
      <c r="H71" s="514">
        <f ca="1">COLD!J225</f>
        <v>91800</v>
      </c>
      <c r="I71" s="514">
        <f ca="1">COLD!J226</f>
        <v>107617.60506353652</v>
      </c>
    </row>
    <row r="72" spans="2:9">
      <c r="D72" s="66" t="str">
        <f>COLD!F27</f>
        <v>Health Facility Cold Storage Expansion</v>
      </c>
      <c r="F72" s="516">
        <f ca="1">COLD!J322</f>
        <v>5376</v>
      </c>
      <c r="G72" s="516">
        <f ca="1">COLD!J323</f>
        <v>6302.3120350933805</v>
      </c>
      <c r="H72" s="514">
        <f ca="1">COLD!J325</f>
        <v>806400</v>
      </c>
      <c r="I72" s="514">
        <f ca="1">COLD!J326</f>
        <v>945346.80526400707</v>
      </c>
    </row>
    <row r="73" spans="2:9">
      <c r="F73" s="517">
        <f ca="1">SUM(F70:F72)</f>
        <v>6107.6</v>
      </c>
      <c r="G73" s="517">
        <f ca="1">SUM(G70:G72)</f>
        <v>7159.9704214167286</v>
      </c>
      <c r="H73" s="515">
        <f ca="1">SUM(H70:H72)</f>
        <v>916140</v>
      </c>
      <c r="I73" s="515">
        <f ca="1">SUM(I70:I72)</f>
        <v>1073995.5632125093</v>
      </c>
    </row>
    <row r="74" spans="2:9" ht="18">
      <c r="C74" s="511" t="str">
        <f>HL_FLU_Other_Activities</f>
        <v>Other Activities</v>
      </c>
    </row>
    <row r="75" spans="2:9">
      <c r="D75" s="66" t="str">
        <f>Other!F22</f>
        <v>Vehicle Acquisition</v>
      </c>
      <c r="F75" s="516">
        <f>Other!J138</f>
        <v>2813</v>
      </c>
      <c r="G75" s="516">
        <f>Other!J139</f>
        <v>2900</v>
      </c>
      <c r="H75" s="514">
        <f>Other!J141</f>
        <v>421950</v>
      </c>
      <c r="I75" s="514">
        <f>Other!J142</f>
        <v>435000</v>
      </c>
    </row>
    <row r="76" spans="2:9">
      <c r="D76" s="66" t="str">
        <f>Other!F23</f>
        <v>Other Equipment (not Cold Chain) Acquisition</v>
      </c>
      <c r="F76" s="516">
        <f>Other!J175</f>
        <v>240</v>
      </c>
      <c r="G76" s="516">
        <f>Other!J176</f>
        <v>300</v>
      </c>
      <c r="H76" s="514">
        <f>Other!J178</f>
        <v>36000</v>
      </c>
      <c r="I76" s="514">
        <f>Other!J179</f>
        <v>45000</v>
      </c>
    </row>
    <row r="77" spans="2:9">
      <c r="D77" s="66" t="str">
        <f>Other!F24</f>
        <v>Other Capital Costs not elsewhere included</v>
      </c>
      <c r="F77" s="516">
        <f>Other!J212</f>
        <v>350</v>
      </c>
      <c r="G77" s="516">
        <f>Other!J213</f>
        <v>650</v>
      </c>
      <c r="H77" s="514">
        <f>Other!J215</f>
        <v>52500</v>
      </c>
      <c r="I77" s="514">
        <f>Other!J216</f>
        <v>97500</v>
      </c>
    </row>
    <row r="78" spans="2:9">
      <c r="F78" s="517">
        <f>SUM(F75:F77)</f>
        <v>3403</v>
      </c>
      <c r="G78" s="517">
        <f>SUM(G75:G77)</f>
        <v>3850</v>
      </c>
      <c r="H78" s="515">
        <f>SUM(H75:H77)</f>
        <v>510450</v>
      </c>
      <c r="I78" s="515">
        <f>SUM(I75:I77)</f>
        <v>577500</v>
      </c>
    </row>
    <row r="80" spans="2:9" ht="18.600000000000001" thickBot="1">
      <c r="B80" s="511" t="s">
        <v>727</v>
      </c>
      <c r="F80" s="531">
        <f ca="1">SUM(F73,F78)</f>
        <v>9510.6</v>
      </c>
      <c r="G80" s="531">
        <f ca="1">SUM(G73,G78)</f>
        <v>11009.970421416729</v>
      </c>
      <c r="H80" s="532">
        <f ca="1">SUM(H73,H78)</f>
        <v>1426590</v>
      </c>
      <c r="I80" s="532">
        <f ca="1">SUM(I73,I78)</f>
        <v>1651495.5632125093</v>
      </c>
    </row>
    <row r="81" spans="2:9" ht="15" thickTop="1"/>
    <row r="83" spans="2:9" ht="18.600000000000001" thickBot="1">
      <c r="B83" s="511" t="s">
        <v>812</v>
      </c>
      <c r="F83" s="531">
        <f ca="1">SUM(F49,F64,F80)</f>
        <v>95121.303333333344</v>
      </c>
      <c r="G83" s="531">
        <f ca="1">SUM(G49,G64,G80)</f>
        <v>125063.57626990158</v>
      </c>
      <c r="H83" s="532">
        <f ca="1">SUM(H49,H64,H80)</f>
        <v>14268195.5</v>
      </c>
      <c r="I83" s="532">
        <f ca="1">SUM(I49,I64,I80)</f>
        <v>18759536.440485235</v>
      </c>
    </row>
    <row r="84" spans="2:9" ht="15" thickTop="1"/>
  </sheetData>
  <mergeCells count="5">
    <mergeCell ref="B4:C4"/>
    <mergeCell ref="D4:F4"/>
    <mergeCell ref="K4:L4"/>
    <mergeCell ref="G4:J4"/>
    <mergeCell ref="B3:D3"/>
  </mergeCells>
  <hyperlinks>
    <hyperlink ref="A4" location="$D$7" tooltip="Go to Top of Sheet" display="$D$7" xr:uid="{00000000-0004-0000-0700-000000000000}"/>
    <hyperlink ref="D4" location="HL_Sheet_Main_15" tooltip="Go to Next Sheet" display="HL_Sheet_Main_15" xr:uid="{00000000-0004-0000-0700-000001000000}"/>
    <hyperlink ref="B4" location="HL_Sheet_Main_13" tooltip="Go to Previous Sheet" display="HL_Sheet_Main_13" xr:uid="{00000000-0004-0000-0700-000002000000}"/>
    <hyperlink ref="B3" location="HL_Home" tooltip="Go to Table of Contents" display="HL_Home" xr:uid="{00000000-0004-0000-0700-000003000000}"/>
    <hyperlink ref="G4" location="HL_Sens_Chk" tooltip="Go to Sensitivity Checks" display="HL_Sens_Chk" xr:uid="{00000000-0004-0000-0700-000004000000}"/>
  </hyperlinks>
  <pageMargins left="0.39370078740157499" right="0.39370078740157499" top="0.59055118110236204" bottom="0.98425196850393704" header="0" footer="0.31496062992126"/>
  <pageSetup orientation="landscape" horizontalDpi="0" verticalDpi="0" r:id="rId1"/>
  <headerFooter>
    <oddFooter>&amp;L&amp;F
&amp;A
Printed: &amp;T on &amp;D&amp;CPage &amp;P of &amp;N</oddFooter>
  </headerFooter>
  <ignoredErrors>
    <ignoredError sqref="G6:H6 G2:H2" formula="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autoPageBreaks="0"/>
  </sheetPr>
  <dimension ref="A1:O99"/>
  <sheetViews>
    <sheetView showGridLines="0" zoomScale="90" zoomScaleNormal="90" workbookViewId="0">
      <pane xSplit="6" ySplit="5" topLeftCell="G6" activePane="bottomRight" state="frozen"/>
      <selection pane="topRight" activeCell="G1" sqref="G1"/>
      <selection pane="bottomLeft" activeCell="A6" sqref="A6"/>
      <selection pane="bottomRight"/>
    </sheetView>
  </sheetViews>
  <sheetFormatPr defaultColWidth="2.44140625" defaultRowHeight="14.4"/>
  <cols>
    <col min="1" max="1" width="2.88671875" style="66" customWidth="1"/>
    <col min="2" max="3" width="3" style="66" customWidth="1"/>
    <col min="4" max="4" width="45" style="66" customWidth="1"/>
    <col min="5" max="5" width="11.21875" style="66" customWidth="1"/>
    <col min="6" max="6" width="17.33203125" style="66" customWidth="1"/>
    <col min="7" max="7" width="17.77734375" style="66" customWidth="1"/>
    <col min="8" max="8" width="15.33203125" style="66" customWidth="1"/>
    <col min="9" max="10" width="14.44140625" style="66" customWidth="1"/>
    <col min="11" max="11" width="17" style="66" customWidth="1"/>
    <col min="12" max="12" width="15.21875" style="66" customWidth="1"/>
    <col min="13" max="13" width="12.77734375" style="66" customWidth="1"/>
    <col min="14" max="14" width="13.44140625" style="66" customWidth="1"/>
    <col min="15" max="15" width="2.44140625" style="66" customWidth="1"/>
    <col min="16" max="16384" width="2.44140625" style="66"/>
  </cols>
  <sheetData>
    <row r="1" spans="1:14" ht="21">
      <c r="B1" s="101" t="s">
        <v>855</v>
      </c>
    </row>
    <row r="2" spans="1:14" ht="18">
      <c r="B2" s="75" t="str">
        <f>Model_Name</f>
        <v>Seasonal Influenza Immunization Costing Tool (SIICT)  - Test Country</v>
      </c>
      <c r="G2" s="86">
        <v>1</v>
      </c>
    </row>
    <row r="3" spans="1:14">
      <c r="B3" s="695" t="s">
        <v>1</v>
      </c>
      <c r="C3" s="695"/>
      <c r="D3" s="695"/>
      <c r="E3" s="695"/>
      <c r="F3" s="695"/>
      <c r="G3" s="695"/>
      <c r="H3" s="695"/>
      <c r="I3" s="695"/>
      <c r="J3" s="695"/>
      <c r="K3" s="695"/>
    </row>
    <row r="4" spans="1:14">
      <c r="A4" s="67" t="s">
        <v>3</v>
      </c>
      <c r="B4" s="711" t="s">
        <v>4</v>
      </c>
      <c r="C4" s="711"/>
      <c r="D4" s="398" t="s">
        <v>5</v>
      </c>
      <c r="E4" s="398"/>
      <c r="F4" s="539"/>
      <c r="G4" s="539"/>
      <c r="H4" s="539"/>
      <c r="I4" s="510" t="str">
        <f ca="1">OFFSET(FLU_LU!$D$77,$G$2,0)</f>
        <v>USD</v>
      </c>
      <c r="J4" s="510" t="str">
        <f ca="1">OFFSET(FLU_LU!$D$77,$G$2,0)</f>
        <v>USD</v>
      </c>
      <c r="K4" s="510" t="str">
        <f ca="1">OFFSET(FLU_LU!$D$77,$G$2,0)</f>
        <v>USD</v>
      </c>
      <c r="L4" s="510" t="str">
        <f ca="1">OFFSET(FLU_LU!$D$77,$G$2,0)</f>
        <v>USD</v>
      </c>
      <c r="M4" s="510" t="str">
        <f ca="1">OFFSET(FLU_LU!$D$77,$G$2,0)</f>
        <v>USD</v>
      </c>
      <c r="N4" s="510" t="str">
        <f ca="1">OFFSET(FLU_LU!$D$77,$G$2,0)</f>
        <v>USD</v>
      </c>
    </row>
    <row r="5" spans="1:14" ht="28.8">
      <c r="E5" s="510" t="s">
        <v>873</v>
      </c>
      <c r="F5" s="510" t="s">
        <v>866</v>
      </c>
      <c r="G5" s="634" t="s">
        <v>872</v>
      </c>
      <c r="H5" s="633" t="s">
        <v>857</v>
      </c>
      <c r="I5" s="635" t="s">
        <v>865</v>
      </c>
      <c r="J5" s="635" t="s">
        <v>856</v>
      </c>
      <c r="K5" s="635" t="s">
        <v>858</v>
      </c>
      <c r="L5" s="635" t="s">
        <v>859</v>
      </c>
      <c r="M5" s="635" t="s">
        <v>860</v>
      </c>
      <c r="N5" s="635" t="s">
        <v>874</v>
      </c>
    </row>
    <row r="6" spans="1:14">
      <c r="G6" s="636"/>
      <c r="H6" s="644"/>
    </row>
    <row r="7" spans="1:14" ht="18">
      <c r="A7" s="511" t="s">
        <v>867</v>
      </c>
      <c r="G7" s="636"/>
      <c r="H7" s="644"/>
    </row>
    <row r="8" spans="1:14">
      <c r="G8" s="636"/>
      <c r="H8" s="644"/>
    </row>
    <row r="9" spans="1:14" ht="18">
      <c r="B9" s="511" t="s">
        <v>852</v>
      </c>
      <c r="G9" s="636"/>
      <c r="H9" s="644"/>
    </row>
    <row r="10" spans="1:14">
      <c r="D10" s="66" t="str">
        <f>A23</f>
        <v>RECURRENT COSTS (EXCEPT VACCINE &amp; INJ. SUPPLY)</v>
      </c>
      <c r="E10" s="642" t="str">
        <f ca="1">E65</f>
        <v>USD</v>
      </c>
      <c r="F10" s="642">
        <f ca="1">F65</f>
        <v>39997.675848484847</v>
      </c>
      <c r="G10" s="637">
        <f ca="1">G65</f>
        <v>-34342.675848484847</v>
      </c>
      <c r="H10" s="645">
        <f>H65</f>
        <v>5655</v>
      </c>
      <c r="I10" s="642">
        <f>I65</f>
        <v>5000</v>
      </c>
      <c r="J10" s="642">
        <f t="shared" ref="J10:N10" si="0">J65</f>
        <v>655</v>
      </c>
      <c r="K10" s="642">
        <f t="shared" si="0"/>
        <v>0</v>
      </c>
      <c r="L10" s="642">
        <f t="shared" si="0"/>
        <v>0</v>
      </c>
      <c r="M10" s="642">
        <f t="shared" si="0"/>
        <v>0</v>
      </c>
      <c r="N10" s="642">
        <f t="shared" si="0"/>
        <v>0</v>
      </c>
    </row>
    <row r="11" spans="1:14">
      <c r="D11" s="66" t="str">
        <f>B68</f>
        <v>VACCINE &amp; INJ. SUPPLY COSTS</v>
      </c>
      <c r="E11" s="642" t="str">
        <f ca="1">E80</f>
        <v>USD</v>
      </c>
      <c r="F11" s="642">
        <f>F80</f>
        <v>74055.930000000008</v>
      </c>
      <c r="G11" s="637">
        <f>G80</f>
        <v>-2344.9300000000062</v>
      </c>
      <c r="H11" s="645">
        <f>H80</f>
        <v>71711</v>
      </c>
      <c r="I11" s="642">
        <f t="shared" ref="I11:N11" si="1">I80</f>
        <v>0</v>
      </c>
      <c r="J11" s="642">
        <f t="shared" si="1"/>
        <v>20000</v>
      </c>
      <c r="K11" s="642">
        <f t="shared" si="1"/>
        <v>0</v>
      </c>
      <c r="L11" s="642">
        <f t="shared" si="1"/>
        <v>0</v>
      </c>
      <c r="M11" s="642">
        <f t="shared" si="1"/>
        <v>51711</v>
      </c>
      <c r="N11" s="642">
        <f t="shared" si="1"/>
        <v>0</v>
      </c>
    </row>
    <row r="12" spans="1:14" ht="18.600000000000001" thickBot="1">
      <c r="C12" s="511" t="str">
        <f>A82</f>
        <v>TOTAL RECURRENT (INCLUD VACC &amp; INJ SUPPL)</v>
      </c>
      <c r="E12" s="652" t="str">
        <f ca="1">E82</f>
        <v>USD</v>
      </c>
      <c r="F12" s="629">
        <f t="shared" ref="F12:N12" ca="1" si="2">F82</f>
        <v>114053.60584848485</v>
      </c>
      <c r="G12" s="639">
        <f t="shared" ca="1" si="2"/>
        <v>-36687.605848484855</v>
      </c>
      <c r="H12" s="648">
        <f t="shared" si="2"/>
        <v>77366</v>
      </c>
      <c r="I12" s="629">
        <f t="shared" si="2"/>
        <v>5000</v>
      </c>
      <c r="J12" s="629">
        <f t="shared" si="2"/>
        <v>20655</v>
      </c>
      <c r="K12" s="629">
        <f t="shared" si="2"/>
        <v>0</v>
      </c>
      <c r="L12" s="629">
        <f t="shared" si="2"/>
        <v>0</v>
      </c>
      <c r="M12" s="629">
        <f t="shared" si="2"/>
        <v>51711</v>
      </c>
      <c r="N12" s="629">
        <f t="shared" si="2"/>
        <v>0</v>
      </c>
    </row>
    <row r="13" spans="1:14" ht="15" thickTop="1">
      <c r="G13" s="638"/>
      <c r="H13" s="644"/>
    </row>
    <row r="14" spans="1:14" ht="18">
      <c r="B14" s="511" t="str">
        <f>A85</f>
        <v>CAPITAL  INVESTMENT COSTS (NOT Annualized)</v>
      </c>
      <c r="G14" s="636"/>
      <c r="H14" s="644"/>
    </row>
    <row r="15" spans="1:14">
      <c r="D15" s="66" t="str">
        <f>C87</f>
        <v>Cold Chain Expansion</v>
      </c>
      <c r="E15" s="642" t="str">
        <f ca="1">E91</f>
        <v>USD</v>
      </c>
      <c r="F15" s="642">
        <f ca="1">F91</f>
        <v>7159.9704214167286</v>
      </c>
      <c r="G15" s="637">
        <f ca="1">G91</f>
        <v>-61076</v>
      </c>
      <c r="H15" s="645">
        <f>H91</f>
        <v>0</v>
      </c>
      <c r="I15" s="642">
        <f t="shared" ref="I15:N15" si="3">I91</f>
        <v>0</v>
      </c>
      <c r="J15" s="642">
        <f t="shared" si="3"/>
        <v>0</v>
      </c>
      <c r="K15" s="642">
        <f t="shared" si="3"/>
        <v>0</v>
      </c>
      <c r="L15" s="642">
        <f t="shared" si="3"/>
        <v>0</v>
      </c>
      <c r="M15" s="642">
        <f t="shared" si="3"/>
        <v>0</v>
      </c>
      <c r="N15" s="642">
        <f t="shared" si="3"/>
        <v>0</v>
      </c>
    </row>
    <row r="16" spans="1:14">
      <c r="D16" s="66" t="str">
        <f>C92</f>
        <v>Other Activities (Capital Investment)</v>
      </c>
      <c r="E16" s="642" t="str">
        <f ca="1">E96</f>
        <v>USD</v>
      </c>
      <c r="F16" s="642">
        <f t="shared" ref="F16:N16" si="4">F96</f>
        <v>3850</v>
      </c>
      <c r="G16" s="637">
        <f t="shared" si="4"/>
        <v>-3850</v>
      </c>
      <c r="H16" s="659">
        <f t="shared" si="4"/>
        <v>0</v>
      </c>
      <c r="I16" s="642">
        <f t="shared" si="4"/>
        <v>0</v>
      </c>
      <c r="J16" s="642">
        <f t="shared" si="4"/>
        <v>0</v>
      </c>
      <c r="K16" s="642">
        <f t="shared" si="4"/>
        <v>0</v>
      </c>
      <c r="L16" s="642">
        <f t="shared" si="4"/>
        <v>0</v>
      </c>
      <c r="M16" s="642">
        <f t="shared" si="4"/>
        <v>0</v>
      </c>
      <c r="N16" s="642">
        <f t="shared" si="4"/>
        <v>0</v>
      </c>
    </row>
    <row r="17" spans="1:14" ht="18.600000000000001" thickBot="1">
      <c r="C17" s="511" t="str">
        <f>A98</f>
        <v xml:space="preserve">TOTAL CAPITAL  INVESTMENT COSTS </v>
      </c>
      <c r="E17" s="652" t="str">
        <f ca="1">E98</f>
        <v>USD</v>
      </c>
      <c r="F17" s="629">
        <f t="shared" ref="F17:N17" ca="1" si="5">F98</f>
        <v>11009.970421416729</v>
      </c>
      <c r="G17" s="639">
        <f t="shared" ca="1" si="5"/>
        <v>-64926</v>
      </c>
      <c r="H17" s="648">
        <f t="shared" si="5"/>
        <v>0</v>
      </c>
      <c r="I17" s="629">
        <f t="shared" si="5"/>
        <v>0</v>
      </c>
      <c r="J17" s="629">
        <f t="shared" si="5"/>
        <v>0</v>
      </c>
      <c r="K17" s="629">
        <f t="shared" si="5"/>
        <v>0</v>
      </c>
      <c r="L17" s="629">
        <f t="shared" si="5"/>
        <v>0</v>
      </c>
      <c r="M17" s="629">
        <f t="shared" si="5"/>
        <v>0</v>
      </c>
      <c r="N17" s="629">
        <f t="shared" si="5"/>
        <v>0</v>
      </c>
    </row>
    <row r="18" spans="1:14" ht="15.6" thickTop="1" thickBot="1">
      <c r="G18" s="636"/>
      <c r="H18" s="644"/>
    </row>
    <row r="19" spans="1:14" ht="19.2" thickTop="1" thickBot="1">
      <c r="A19" s="511" t="s">
        <v>870</v>
      </c>
      <c r="E19" s="656" t="str">
        <f ca="1">OFFSET(FLU_LU!$D$77,$G$2,0)</f>
        <v>USD</v>
      </c>
      <c r="F19" s="656">
        <f ca="1">SUM(F12,F17)</f>
        <v>125063.57626990158</v>
      </c>
      <c r="G19" s="657">
        <f ca="1">SUM(G12,G17)</f>
        <v>-101613.60584848485</v>
      </c>
      <c r="H19" s="658">
        <f>SUM(H12,H17)</f>
        <v>77366</v>
      </c>
      <c r="I19" s="656">
        <f t="shared" ref="I19:N19" si="6">SUM(I12,I17)</f>
        <v>5000</v>
      </c>
      <c r="J19" s="656">
        <f t="shared" si="6"/>
        <v>20655</v>
      </c>
      <c r="K19" s="656">
        <f t="shared" si="6"/>
        <v>0</v>
      </c>
      <c r="L19" s="656">
        <f t="shared" si="6"/>
        <v>0</v>
      </c>
      <c r="M19" s="656">
        <f t="shared" si="6"/>
        <v>51711</v>
      </c>
      <c r="N19" s="656">
        <f t="shared" si="6"/>
        <v>0</v>
      </c>
    </row>
    <row r="20" spans="1:14" ht="18" customHeight="1" thickTop="1">
      <c r="G20" s="636"/>
      <c r="H20" s="644"/>
    </row>
    <row r="21" spans="1:14" ht="7.5" customHeight="1">
      <c r="A21" s="653"/>
      <c r="B21" s="653"/>
      <c r="C21" s="653"/>
      <c r="D21" s="653"/>
      <c r="E21" s="653"/>
      <c r="F21" s="653"/>
      <c r="G21" s="654"/>
      <c r="H21" s="655"/>
      <c r="I21" s="653"/>
      <c r="J21" s="653"/>
      <c r="K21" s="653"/>
      <c r="L21" s="653"/>
      <c r="M21" s="653"/>
      <c r="N21" s="653"/>
    </row>
    <row r="22" spans="1:14">
      <c r="G22" s="636"/>
      <c r="H22" s="644"/>
    </row>
    <row r="23" spans="1:14" ht="18">
      <c r="A23" s="511" t="s">
        <v>863</v>
      </c>
      <c r="G23" s="636"/>
      <c r="H23" s="644"/>
    </row>
    <row r="24" spans="1:14">
      <c r="G24" s="636"/>
      <c r="H24" s="644"/>
    </row>
    <row r="25" spans="1:14" ht="18">
      <c r="C25" s="511" t="str">
        <f>HL_FLU_Preparation_Outputs&amp;" Activities"</f>
        <v>Microplanning Activities</v>
      </c>
      <c r="E25" s="510"/>
      <c r="G25" s="636"/>
      <c r="H25" s="644"/>
    </row>
    <row r="26" spans="1:14">
      <c r="D26" s="508" t="str">
        <f>MICRO!C24</f>
        <v>Develop Annual Influenza Programme Plan and Budget</v>
      </c>
      <c r="E26" s="632" t="str">
        <f ca="1">OFFSET(FLU_LU!$D$77,$G$2,0)</f>
        <v>USD</v>
      </c>
      <c r="F26" s="625">
        <f>IF($G$2=1,INCREMENTAL!G10,INCREMENTAL!I10)</f>
        <v>861.86666666666667</v>
      </c>
      <c r="G26" s="637">
        <f>H26-F26</f>
        <v>4538.1333333333332</v>
      </c>
      <c r="H26" s="646">
        <f>SUM(I26:N26)</f>
        <v>5400</v>
      </c>
      <c r="I26" s="643">
        <v>5000</v>
      </c>
      <c r="J26" s="115">
        <v>400</v>
      </c>
      <c r="K26" s="115"/>
      <c r="L26" s="115"/>
      <c r="M26" s="115"/>
      <c r="N26" s="115"/>
    </row>
    <row r="27" spans="1:14" ht="28.8">
      <c r="D27" s="508" t="str">
        <f>MICRO!C52</f>
        <v>IPH meets w/ District Epidemiologists to Prepare for Flu Vaccination Activities</v>
      </c>
      <c r="E27" s="632" t="str">
        <f ca="1">OFFSET(FLU_LU!$D$77,$G$2,0)</f>
        <v>USD</v>
      </c>
      <c r="F27" s="625">
        <f>IF($G$2=1,INCREMENTAL!G11,INCREMENTAL!I11)</f>
        <v>800</v>
      </c>
      <c r="G27" s="637">
        <f>H27-F27</f>
        <v>-545</v>
      </c>
      <c r="H27" s="646">
        <f t="shared" ref="H27:H28" si="7">SUM(I27:N27)</f>
        <v>255</v>
      </c>
      <c r="I27" s="643"/>
      <c r="J27" s="115">
        <v>255</v>
      </c>
      <c r="K27" s="115"/>
      <c r="L27" s="115"/>
      <c r="M27" s="115"/>
      <c r="N27" s="115"/>
    </row>
    <row r="28" spans="1:14">
      <c r="D28" s="508" t="str">
        <f>MICRO!C80</f>
        <v>[Available for Additional Microplanning Activity]</v>
      </c>
      <c r="E28" s="632" t="str">
        <f ca="1">OFFSET(FLU_LU!$D$77,$G$2,0)</f>
        <v>USD</v>
      </c>
      <c r="F28" s="625">
        <f>IF($G$2=1,INCREMENTAL!G12,INCREMENTAL!I12)</f>
        <v>0</v>
      </c>
      <c r="G28" s="637">
        <f>H28-F28</f>
        <v>0</v>
      </c>
      <c r="H28" s="646">
        <f t="shared" si="7"/>
        <v>0</v>
      </c>
      <c r="I28" s="643"/>
      <c r="J28" s="115"/>
      <c r="K28" s="115"/>
      <c r="L28" s="115"/>
      <c r="M28" s="115"/>
      <c r="N28" s="115"/>
    </row>
    <row r="29" spans="1:14">
      <c r="D29" s="508"/>
      <c r="E29" s="650" t="str">
        <f ca="1">OFFSET(FLU_LU!$D$77,$G$2,0)</f>
        <v>USD</v>
      </c>
      <c r="F29" s="627">
        <f>IF($G$2=1,INCREMENTAL!G13,INCREMENTAL!I13)</f>
        <v>1661.8666666666668</v>
      </c>
      <c r="G29" s="638">
        <f>SUM(G26:G28)</f>
        <v>3993.1333333333332</v>
      </c>
      <c r="H29" s="647">
        <f>SUM(I29:N29)</f>
        <v>5655</v>
      </c>
      <c r="I29" s="626">
        <f t="shared" ref="I29:N29" si="8">SUM(I26:I28)</f>
        <v>5000</v>
      </c>
      <c r="J29" s="626">
        <f t="shared" si="8"/>
        <v>655</v>
      </c>
      <c r="K29" s="626">
        <f t="shared" si="8"/>
        <v>0</v>
      </c>
      <c r="L29" s="626">
        <f t="shared" si="8"/>
        <v>0</v>
      </c>
      <c r="M29" s="626">
        <f t="shared" si="8"/>
        <v>0</v>
      </c>
      <c r="N29" s="626">
        <f t="shared" si="8"/>
        <v>0</v>
      </c>
    </row>
    <row r="30" spans="1:14" ht="18">
      <c r="C30" s="511" t="str">
        <f>HL_FLU_Distribution&amp;" Activities"</f>
        <v>Distribution Activities</v>
      </c>
      <c r="D30" s="508"/>
      <c r="E30" s="510"/>
      <c r="G30" s="636"/>
      <c r="H30" s="644"/>
      <c r="I30" s="510"/>
      <c r="J30" s="510"/>
      <c r="K30" s="510"/>
      <c r="L30" s="510"/>
      <c r="M30" s="510"/>
      <c r="N30" s="510"/>
    </row>
    <row r="31" spans="1:14">
      <c r="D31" s="508" t="str">
        <f>DISTRIB!C26</f>
        <v>Plan and prepare for distribution.</v>
      </c>
      <c r="E31" s="632" t="str">
        <f ca="1">OFFSET(FLU_LU!$D$77,$G$2,0)</f>
        <v>USD</v>
      </c>
      <c r="F31" s="625">
        <f>IF($G$2=1,INCREMENTAL!G15,INCREMENTAL!I15)</f>
        <v>318.20666666666665</v>
      </c>
      <c r="G31" s="637">
        <f t="shared" ref="G31:G33" si="9">H31-F31</f>
        <v>-318.20666666666665</v>
      </c>
      <c r="H31" s="646">
        <f t="shared" ref="H31:H34" si="10">SUM(I31:N31)</f>
        <v>0</v>
      </c>
      <c r="I31" s="643"/>
      <c r="J31" s="115"/>
      <c r="K31" s="115"/>
      <c r="L31" s="115"/>
      <c r="M31" s="115"/>
      <c r="N31" s="115"/>
    </row>
    <row r="32" spans="1:14">
      <c r="D32" s="508" t="str">
        <f>DISTRIB!C56</f>
        <v>Distribute Vacc Materials from IPH to 12 Directorates</v>
      </c>
      <c r="E32" s="632" t="str">
        <f ca="1">OFFSET(FLU_LU!$D$77,$G$2,0)</f>
        <v>USD</v>
      </c>
      <c r="F32" s="625">
        <f ca="1">IF($G$2=1,INCREMENTAL!G16,INCREMENTAL!I16)</f>
        <v>2787.3328181818183</v>
      </c>
      <c r="G32" s="637">
        <f t="shared" ca="1" si="9"/>
        <v>-2787.3328181818183</v>
      </c>
      <c r="H32" s="646">
        <f t="shared" si="10"/>
        <v>0</v>
      </c>
      <c r="I32" s="643"/>
      <c r="J32" s="115"/>
      <c r="K32" s="115"/>
      <c r="L32" s="115"/>
      <c r="M32" s="115"/>
      <c r="N32" s="115"/>
    </row>
    <row r="33" spans="3:15" ht="28.8">
      <c r="D33" s="508" t="str">
        <f>DISTRIB!C84</f>
        <v>Distribute Vacc Materials from 12 Directorates to Health Facilities</v>
      </c>
      <c r="E33" s="632" t="str">
        <f ca="1">OFFSET(FLU_LU!$D$77,$G$2,0)</f>
        <v>USD</v>
      </c>
      <c r="F33" s="625">
        <f ca="1">IF($G$2=1,INCREMENTAL!G17,INCREMENTAL!I17)</f>
        <v>7161.136363636364</v>
      </c>
      <c r="G33" s="637">
        <f t="shared" ca="1" si="9"/>
        <v>-7161.136363636364</v>
      </c>
      <c r="H33" s="646">
        <f t="shared" si="10"/>
        <v>0</v>
      </c>
      <c r="I33" s="643"/>
      <c r="J33" s="115"/>
      <c r="K33" s="115"/>
      <c r="L33" s="115"/>
      <c r="M33" s="115"/>
      <c r="N33" s="115"/>
    </row>
    <row r="34" spans="3:15">
      <c r="D34" s="508"/>
      <c r="E34" s="650" t="str">
        <f ca="1">OFFSET(FLU_LU!$D$77,$G$2,0)</f>
        <v>USD</v>
      </c>
      <c r="F34" s="627">
        <f ca="1">IF($G$2=1,INCREMENTAL!G18,INCREMENTAL!I18)</f>
        <v>10266.675848484849</v>
      </c>
      <c r="G34" s="638">
        <f ca="1">SUM(G31:G33)</f>
        <v>-10266.675848484849</v>
      </c>
      <c r="H34" s="647">
        <f t="shared" si="10"/>
        <v>0</v>
      </c>
      <c r="I34" s="626">
        <f t="shared" ref="I34:N34" si="11">SUM(I31:I33)</f>
        <v>0</v>
      </c>
      <c r="J34" s="626">
        <f t="shared" si="11"/>
        <v>0</v>
      </c>
      <c r="K34" s="626">
        <f t="shared" si="11"/>
        <v>0</v>
      </c>
      <c r="L34" s="626">
        <f t="shared" si="11"/>
        <v>0</v>
      </c>
      <c r="M34" s="626">
        <f t="shared" si="11"/>
        <v>0</v>
      </c>
      <c r="N34" s="626">
        <f t="shared" si="11"/>
        <v>0</v>
      </c>
      <c r="O34" s="625"/>
    </row>
    <row r="35" spans="3:15" ht="18">
      <c r="C35" s="511" t="str">
        <f>TRAIN!B12&amp;" Activities"</f>
        <v>Training Activities</v>
      </c>
      <c r="D35" s="508"/>
      <c r="E35" s="510"/>
      <c r="G35" s="636"/>
      <c r="H35" s="644"/>
      <c r="I35" s="510"/>
      <c r="J35" s="510"/>
      <c r="K35" s="510"/>
      <c r="L35" s="510"/>
      <c r="M35" s="510"/>
      <c r="N35" s="510"/>
    </row>
    <row r="36" spans="3:15">
      <c r="D36" s="508" t="str">
        <f>HL_FLU_Training_General_A</f>
        <v>Public Health Directorate Training</v>
      </c>
      <c r="E36" s="632" t="str">
        <f ca="1">OFFSET(FLU_LU!$D$77,$G$2,0)</f>
        <v>USD</v>
      </c>
      <c r="F36" s="625">
        <f>IF($G$2=1,INCREMENTAL!G20,INCREMENTAL!I20)</f>
        <v>100</v>
      </c>
      <c r="G36" s="637">
        <f t="shared" ref="G36:G38" si="12">H36-F36</f>
        <v>-100</v>
      </c>
      <c r="H36" s="646">
        <f t="shared" ref="H36:H39" si="13">SUM(I36:N36)</f>
        <v>0</v>
      </c>
      <c r="I36" s="643"/>
      <c r="J36" s="115"/>
      <c r="K36" s="115"/>
      <c r="L36" s="115"/>
      <c r="M36" s="115"/>
      <c r="N36" s="115"/>
    </row>
    <row r="37" spans="3:15" ht="28.8">
      <c r="D37" s="508" t="str">
        <f>TRAIN!C50</f>
        <v>District Epidemiologists Meet w/ Health Facility Teams to Prepare</v>
      </c>
      <c r="E37" s="632" t="str">
        <f ca="1">OFFSET(FLU_LU!$D$77,$G$2,0)</f>
        <v>USD</v>
      </c>
      <c r="F37" s="625">
        <f>IF($G$2=1,INCREMENTAL!G21,INCREMENTAL!I21)</f>
        <v>270.74666666666667</v>
      </c>
      <c r="G37" s="637">
        <f t="shared" si="12"/>
        <v>-270.74666666666667</v>
      </c>
      <c r="H37" s="646">
        <f t="shared" si="13"/>
        <v>0</v>
      </c>
      <c r="I37" s="643"/>
      <c r="J37" s="115"/>
      <c r="K37" s="115"/>
      <c r="L37" s="115"/>
      <c r="M37" s="115"/>
      <c r="N37" s="115"/>
    </row>
    <row r="38" spans="3:15">
      <c r="D38" s="508" t="str">
        <f>TRAIN!C77</f>
        <v>[Available for Additional Training Activity]</v>
      </c>
      <c r="E38" s="632" t="str">
        <f ca="1">OFFSET(FLU_LU!$D$77,$G$2,0)</f>
        <v>USD</v>
      </c>
      <c r="F38" s="625">
        <f>IF($G$2=1,INCREMENTAL!G22,INCREMENTAL!I22)</f>
        <v>0</v>
      </c>
      <c r="G38" s="637">
        <f t="shared" si="12"/>
        <v>0</v>
      </c>
      <c r="H38" s="646">
        <f t="shared" si="13"/>
        <v>0</v>
      </c>
      <c r="I38" s="643"/>
      <c r="J38" s="115"/>
      <c r="K38" s="115"/>
      <c r="L38" s="115"/>
      <c r="M38" s="115"/>
      <c r="N38" s="115"/>
    </row>
    <row r="39" spans="3:15">
      <c r="E39" s="650" t="str">
        <f ca="1">OFFSET(FLU_LU!$D$77,$G$2,0)</f>
        <v>USD</v>
      </c>
      <c r="F39" s="627">
        <f>IF($G$2=1,INCREMENTAL!G23,INCREMENTAL!I23)</f>
        <v>370.74666666666667</v>
      </c>
      <c r="G39" s="638">
        <f>SUM(G36:G38)</f>
        <v>-370.74666666666667</v>
      </c>
      <c r="H39" s="647">
        <f t="shared" si="13"/>
        <v>0</v>
      </c>
      <c r="I39" s="626">
        <f t="shared" ref="I39:N39" si="14">SUM(I36:I38)</f>
        <v>0</v>
      </c>
      <c r="J39" s="626">
        <f t="shared" si="14"/>
        <v>0</v>
      </c>
      <c r="K39" s="626">
        <f t="shared" si="14"/>
        <v>0</v>
      </c>
      <c r="L39" s="626">
        <f t="shared" si="14"/>
        <v>0</v>
      </c>
      <c r="M39" s="626">
        <f t="shared" si="14"/>
        <v>0</v>
      </c>
      <c r="N39" s="626">
        <f t="shared" si="14"/>
        <v>0</v>
      </c>
    </row>
    <row r="40" spans="3:15" ht="18">
      <c r="C40" s="511" t="str">
        <f>IEC!B12&amp;" Activities"</f>
        <v>Social Mobilisation / IEC Activities</v>
      </c>
      <c r="E40" s="510"/>
      <c r="G40" s="636"/>
      <c r="H40" s="644"/>
      <c r="I40" s="510"/>
      <c r="J40" s="510"/>
      <c r="K40" s="510"/>
      <c r="L40" s="510"/>
      <c r="M40" s="510"/>
      <c r="N40" s="510"/>
    </row>
    <row r="41" spans="3:15">
      <c r="D41" s="66" t="str">
        <f>IEC!C23</f>
        <v>Media relations established</v>
      </c>
      <c r="E41" s="632" t="str">
        <f ca="1">OFFSET(FLU_LU!$D$77,$G$2,0)</f>
        <v>USD</v>
      </c>
      <c r="F41" s="625">
        <f>IF($G$2=1,INCREMENTAL!G25,INCREMENTAL!I25)</f>
        <v>100</v>
      </c>
      <c r="G41" s="637">
        <f t="shared" ref="G41:G43" si="15">H41-F41</f>
        <v>-100</v>
      </c>
      <c r="H41" s="646">
        <f t="shared" ref="H41:H44" si="16">SUM(I41:N41)</f>
        <v>0</v>
      </c>
      <c r="I41" s="643"/>
      <c r="J41" s="115"/>
      <c r="K41" s="115"/>
      <c r="L41" s="115"/>
      <c r="M41" s="115"/>
      <c r="N41" s="115"/>
    </row>
    <row r="42" spans="3:15">
      <c r="D42" s="66" t="str">
        <f>IEC!C50</f>
        <v xml:space="preserve">National press release for Health Care Worker vaccination </v>
      </c>
      <c r="E42" s="632" t="str">
        <f ca="1">OFFSET(FLU_LU!$D$77,$G$2,0)</f>
        <v>USD</v>
      </c>
      <c r="F42" s="625">
        <f>IF($G$2=1,INCREMENTAL!G26,INCREMENTAL!I26)</f>
        <v>270.74666666666667</v>
      </c>
      <c r="G42" s="637">
        <f t="shared" si="15"/>
        <v>-270.74666666666667</v>
      </c>
      <c r="H42" s="646">
        <f t="shared" si="16"/>
        <v>0</v>
      </c>
      <c r="I42" s="643"/>
      <c r="J42" s="115"/>
      <c r="K42" s="115"/>
      <c r="L42" s="115"/>
      <c r="M42" s="115"/>
      <c r="N42" s="115"/>
    </row>
    <row r="43" spans="3:15">
      <c r="D43" s="66" t="str">
        <f>IEC!C77</f>
        <v>Media appearances/ interviews  on National  TV and Radio</v>
      </c>
      <c r="E43" s="632" t="str">
        <f ca="1">OFFSET(FLU_LU!$D$77,$G$2,0)</f>
        <v>USD</v>
      </c>
      <c r="F43" s="625">
        <f>IF($G$2=1,INCREMENTAL!G27,INCREMENTAL!I27)</f>
        <v>266.66666666666669</v>
      </c>
      <c r="G43" s="637">
        <f t="shared" si="15"/>
        <v>-266.66666666666669</v>
      </c>
      <c r="H43" s="646">
        <f t="shared" si="16"/>
        <v>0</v>
      </c>
      <c r="I43" s="643"/>
      <c r="J43" s="115"/>
      <c r="K43" s="115"/>
      <c r="L43" s="115"/>
      <c r="M43" s="115"/>
      <c r="N43" s="115"/>
    </row>
    <row r="44" spans="3:15">
      <c r="E44" s="650" t="str">
        <f ca="1">OFFSET(FLU_LU!$D$77,$G$2,0)</f>
        <v>USD</v>
      </c>
      <c r="F44" s="627">
        <f>IF($G$2=1,INCREMENTAL!G28,INCREMENTAL!I28)</f>
        <v>637.41333333333341</v>
      </c>
      <c r="G44" s="638">
        <f>SUM(G41:G43)</f>
        <v>-637.41333333333341</v>
      </c>
      <c r="H44" s="647">
        <f t="shared" si="16"/>
        <v>0</v>
      </c>
      <c r="I44" s="626">
        <f t="shared" ref="I44:N44" si="17">SUM(I41:I43)</f>
        <v>0</v>
      </c>
      <c r="J44" s="626">
        <f t="shared" si="17"/>
        <v>0</v>
      </c>
      <c r="K44" s="626">
        <f t="shared" si="17"/>
        <v>0</v>
      </c>
      <c r="L44" s="626">
        <f t="shared" si="17"/>
        <v>0</v>
      </c>
      <c r="M44" s="626">
        <f t="shared" si="17"/>
        <v>0</v>
      </c>
      <c r="N44" s="626">
        <f t="shared" si="17"/>
        <v>0</v>
      </c>
    </row>
    <row r="45" spans="3:15" ht="18">
      <c r="C45" s="511" t="str">
        <f>SD_IMM!B12</f>
        <v>Immunization Activities</v>
      </c>
      <c r="E45" s="510"/>
      <c r="G45" s="636"/>
      <c r="H45" s="644"/>
      <c r="I45" s="510"/>
      <c r="J45" s="510"/>
      <c r="K45" s="510"/>
      <c r="L45" s="510"/>
      <c r="M45" s="510"/>
      <c r="N45" s="510"/>
    </row>
    <row r="46" spans="3:15">
      <c r="D46" s="66" t="str">
        <f>HL_FLU_SD_1a</f>
        <v>1a. Routine Immunization by a Facility Nurse</v>
      </c>
      <c r="E46" s="632" t="str">
        <f ca="1">OFFSET(FLU_LU!$D$77,$G$2,0)</f>
        <v>USD</v>
      </c>
      <c r="F46" s="625">
        <f>IF($G$2=1,INCREMENTAL!G30,INCREMENTAL!I30)</f>
        <v>1617</v>
      </c>
      <c r="G46" s="637">
        <f t="shared" ref="G46:G51" si="18">H46-F46</f>
        <v>-1617</v>
      </c>
      <c r="H46" s="646">
        <f t="shared" ref="H46:H52" si="19">SUM(I46:N46)</f>
        <v>0</v>
      </c>
      <c r="I46" s="643"/>
      <c r="J46" s="115"/>
      <c r="K46" s="115"/>
      <c r="L46" s="115"/>
      <c r="M46" s="115"/>
      <c r="N46" s="115"/>
    </row>
    <row r="47" spans="3:15">
      <c r="D47" s="66" t="str">
        <f>HL_FLU_SD_1b</f>
        <v>1b. Routine Immunization by an Home Visit Nurse</v>
      </c>
      <c r="E47" s="632" t="str">
        <f ca="1">OFFSET(FLU_LU!$D$77,$G$2,0)</f>
        <v>USD</v>
      </c>
      <c r="F47" s="625">
        <f>IF($G$2=1,INCREMENTAL!G31,INCREMENTAL!I31)</f>
        <v>0</v>
      </c>
      <c r="G47" s="637">
        <f t="shared" si="18"/>
        <v>0</v>
      </c>
      <c r="H47" s="646">
        <f t="shared" si="19"/>
        <v>0</v>
      </c>
      <c r="I47" s="643"/>
      <c r="J47" s="115"/>
      <c r="K47" s="115"/>
      <c r="L47" s="115"/>
      <c r="M47" s="115"/>
      <c r="N47" s="115"/>
    </row>
    <row r="48" spans="3:15">
      <c r="D48" s="66" t="str">
        <f>HL_FLU_SD_1c</f>
        <v>1c. Routine Immunization by a Satellite Outreach Nurse</v>
      </c>
      <c r="E48" s="632" t="str">
        <f ca="1">OFFSET(FLU_LU!$D$77,$G$2,0)</f>
        <v>USD</v>
      </c>
      <c r="F48" s="625">
        <f>IF($G$2=1,INCREMENTAL!G32,INCREMENTAL!I32)</f>
        <v>0</v>
      </c>
      <c r="G48" s="637">
        <f t="shared" si="18"/>
        <v>0</v>
      </c>
      <c r="H48" s="646">
        <f t="shared" si="19"/>
        <v>0</v>
      </c>
      <c r="I48" s="643"/>
      <c r="J48" s="115"/>
      <c r="K48" s="115"/>
      <c r="L48" s="115"/>
      <c r="M48" s="115"/>
      <c r="N48" s="115"/>
    </row>
    <row r="49" spans="3:14">
      <c r="D49" s="66" t="str">
        <f>HL_FLU_SD_SIA_2a</f>
        <v>2a. SIA - Team of 2 Nurses - Full Working Day</v>
      </c>
      <c r="E49" s="632" t="str">
        <f ca="1">OFFSET(FLU_LU!$D$77,$G$2,0)</f>
        <v>USD</v>
      </c>
      <c r="F49" s="625">
        <f>IF($G$2=1,INCREMENTAL!G33,INCREMENTAL!I33)</f>
        <v>5311.4599999999991</v>
      </c>
      <c r="G49" s="637">
        <f t="shared" si="18"/>
        <v>-5311.4599999999991</v>
      </c>
      <c r="H49" s="646">
        <f t="shared" si="19"/>
        <v>0</v>
      </c>
      <c r="I49" s="643"/>
      <c r="J49" s="115"/>
      <c r="K49" s="115"/>
      <c r="L49" s="115"/>
      <c r="M49" s="115"/>
      <c r="N49" s="115"/>
    </row>
    <row r="50" spans="3:14">
      <c r="D50" s="66" t="str">
        <f>HL_FLU_SD_SIA_2b</f>
        <v>2b. SIA - Team of 1 Doctor and 1 Nurse - Full Working Day</v>
      </c>
      <c r="E50" s="632" t="str">
        <f ca="1">OFFSET(FLU_LU!$D$77,$G$2,0)</f>
        <v>USD</v>
      </c>
      <c r="F50" s="625">
        <f>IF($G$2=1,INCREMENTAL!G34,INCREMENTAL!I34)</f>
        <v>4595.1000000000004</v>
      </c>
      <c r="G50" s="637">
        <f t="shared" si="18"/>
        <v>-4595.1000000000004</v>
      </c>
      <c r="H50" s="646">
        <f t="shared" si="19"/>
        <v>0</v>
      </c>
      <c r="I50" s="643"/>
      <c r="J50" s="115"/>
      <c r="K50" s="115"/>
      <c r="L50" s="115"/>
      <c r="M50" s="115"/>
      <c r="N50" s="115"/>
    </row>
    <row r="51" spans="3:14">
      <c r="D51" s="66" t="str">
        <f>HL_FLU_SD_SIA_2c</f>
        <v>2c. Service Delivery - Special Immunization Activity Category 3</v>
      </c>
      <c r="E51" s="632" t="str">
        <f ca="1">OFFSET(FLU_LU!$D$77,$G$2,0)</f>
        <v>USD</v>
      </c>
      <c r="F51" s="625">
        <f>IF($G$2=1,INCREMENTAL!G35,INCREMENTAL!I35)</f>
        <v>0</v>
      </c>
      <c r="G51" s="637">
        <f t="shared" si="18"/>
        <v>0</v>
      </c>
      <c r="H51" s="646">
        <f t="shared" si="19"/>
        <v>0</v>
      </c>
      <c r="I51" s="643"/>
      <c r="J51" s="115"/>
      <c r="K51" s="115"/>
      <c r="L51" s="115"/>
      <c r="M51" s="115"/>
      <c r="N51" s="115"/>
    </row>
    <row r="52" spans="3:14">
      <c r="E52" s="650" t="str">
        <f ca="1">OFFSET(FLU_LU!$D$77,$G$2,0)</f>
        <v>USD</v>
      </c>
      <c r="F52" s="627">
        <f>IF($G$2=1,INCREMENTAL!G36,INCREMENTAL!I36)</f>
        <v>11523.56</v>
      </c>
      <c r="G52" s="638">
        <f>SUM(G46:G51)</f>
        <v>-11523.56</v>
      </c>
      <c r="H52" s="647">
        <f t="shared" si="19"/>
        <v>0</v>
      </c>
      <c r="I52" s="626">
        <f t="shared" ref="I52:N52" si="20">SUM(I46:I51)</f>
        <v>0</v>
      </c>
      <c r="J52" s="626">
        <f t="shared" si="20"/>
        <v>0</v>
      </c>
      <c r="K52" s="626">
        <f t="shared" si="20"/>
        <v>0</v>
      </c>
      <c r="L52" s="626">
        <f t="shared" si="20"/>
        <v>0</v>
      </c>
      <c r="M52" s="626">
        <f t="shared" si="20"/>
        <v>0</v>
      </c>
      <c r="N52" s="626">
        <f t="shared" si="20"/>
        <v>0</v>
      </c>
    </row>
    <row r="53" spans="3:14" ht="18">
      <c r="C53" s="511" t="str">
        <f>SUPV!B12</f>
        <v>Supervision and Monitoring Activities</v>
      </c>
      <c r="E53" s="510"/>
      <c r="G53" s="636"/>
      <c r="H53" s="644"/>
      <c r="I53" s="510"/>
      <c r="J53" s="510"/>
      <c r="K53" s="510"/>
      <c r="L53" s="510"/>
      <c r="M53" s="510"/>
      <c r="N53" s="510"/>
    </row>
    <row r="54" spans="3:14">
      <c r="D54" s="66" t="str">
        <f>SUPV!C23</f>
        <v>Supportive Supervision Visit From National to  PHD (district)</v>
      </c>
      <c r="E54" s="632" t="str">
        <f ca="1">OFFSET(FLU_LU!$D$77,$G$2,0)</f>
        <v>USD</v>
      </c>
      <c r="F54" s="625">
        <f>IF($G$2=1,INCREMENTAL!G38,INCREMENTAL!I38)</f>
        <v>15000</v>
      </c>
      <c r="G54" s="637">
        <f t="shared" ref="G54:G56" si="21">H54-F54</f>
        <v>-15000</v>
      </c>
      <c r="H54" s="646">
        <f t="shared" ref="H54:H57" si="22">SUM(I54:N54)</f>
        <v>0</v>
      </c>
      <c r="I54" s="204"/>
      <c r="J54" s="64"/>
      <c r="K54" s="64"/>
      <c r="L54" s="64"/>
      <c r="M54" s="64"/>
      <c r="N54" s="64"/>
    </row>
    <row r="55" spans="3:14">
      <c r="D55" s="66" t="str">
        <f>SUPV!C50</f>
        <v xml:space="preserve">Supportive Supervision Visit From   PHD (district) to facility </v>
      </c>
      <c r="E55" s="632" t="str">
        <f ca="1">OFFSET(FLU_LU!$D$77,$G$2,0)</f>
        <v>USD</v>
      </c>
      <c r="F55" s="625">
        <f>IF($G$2=1,INCREMENTAL!G39,INCREMENTAL!I39)</f>
        <v>270.74666666666667</v>
      </c>
      <c r="G55" s="637">
        <f t="shared" si="21"/>
        <v>-270.74666666666667</v>
      </c>
      <c r="H55" s="646">
        <f t="shared" si="22"/>
        <v>0</v>
      </c>
      <c r="I55" s="204"/>
      <c r="J55" s="64"/>
      <c r="K55" s="64"/>
      <c r="L55" s="64"/>
      <c r="M55" s="64"/>
      <c r="N55" s="64"/>
    </row>
    <row r="56" spans="3:14">
      <c r="D56" s="66" t="str">
        <f>SUPV!C77</f>
        <v>Supervision Category 3</v>
      </c>
      <c r="E56" s="632" t="str">
        <f ca="1">OFFSET(FLU_LU!$D$77,$G$2,0)</f>
        <v>USD</v>
      </c>
      <c r="F56" s="625">
        <f>IF($G$2=1,INCREMENTAL!G40,INCREMENTAL!I40)</f>
        <v>266.66666666666669</v>
      </c>
      <c r="G56" s="637">
        <f t="shared" si="21"/>
        <v>-266.66666666666669</v>
      </c>
      <c r="H56" s="646">
        <f t="shared" si="22"/>
        <v>0</v>
      </c>
      <c r="I56" s="204"/>
      <c r="J56" s="64"/>
      <c r="K56" s="64"/>
      <c r="L56" s="64"/>
      <c r="M56" s="64"/>
      <c r="N56" s="64"/>
    </row>
    <row r="57" spans="3:14">
      <c r="E57" s="650" t="str">
        <f ca="1">OFFSET(FLU_LU!$D$77,$G$2,0)</f>
        <v>USD</v>
      </c>
      <c r="F57" s="627">
        <f>IF($G$2=1,INCREMENTAL!G41,INCREMENTAL!I41)</f>
        <v>15537.413333333332</v>
      </c>
      <c r="G57" s="638">
        <f>SUM(G54:G56)</f>
        <v>-15537.413333333332</v>
      </c>
      <c r="H57" s="647">
        <f t="shared" si="22"/>
        <v>0</v>
      </c>
      <c r="I57" s="626">
        <f t="shared" ref="I57:N57" si="23">SUM(I54:I56)</f>
        <v>0</v>
      </c>
      <c r="J57" s="626">
        <f t="shared" si="23"/>
        <v>0</v>
      </c>
      <c r="K57" s="626">
        <f t="shared" si="23"/>
        <v>0</v>
      </c>
      <c r="L57" s="626">
        <f t="shared" si="23"/>
        <v>0</v>
      </c>
      <c r="M57" s="626">
        <f t="shared" si="23"/>
        <v>0</v>
      </c>
      <c r="N57" s="626">
        <f t="shared" si="23"/>
        <v>0</v>
      </c>
    </row>
    <row r="58" spans="3:14" ht="18">
      <c r="C58" s="511" t="str">
        <f>HL_FLU_Other_Activities</f>
        <v>Other Activities</v>
      </c>
      <c r="E58" s="510"/>
      <c r="G58" s="636"/>
      <c r="H58" s="644"/>
      <c r="I58" s="510"/>
      <c r="J58" s="510"/>
      <c r="K58" s="510"/>
      <c r="L58" s="510"/>
      <c r="M58" s="510"/>
      <c r="N58" s="510"/>
    </row>
    <row r="59" spans="3:14">
      <c r="D59" s="66" t="str">
        <f>HL_FLU_Other_Recurrent_Activity_1</f>
        <v>Other Recurrent Activity 1</v>
      </c>
      <c r="E59" s="632" t="str">
        <f ca="1">OFFSET(FLU_LU!$D$77,$G$2,0)</f>
        <v>USD</v>
      </c>
      <c r="F59" s="625">
        <f>IF($G$2=1,INCREMENTAL!G43,INCREMENTAL!I43)</f>
        <v>0</v>
      </c>
      <c r="G59" s="637">
        <f t="shared" ref="G59:G61" si="24">H59-F59</f>
        <v>0</v>
      </c>
      <c r="H59" s="646">
        <f t="shared" ref="H59:H62" si="25">SUM(I59:N59)</f>
        <v>0</v>
      </c>
      <c r="I59" s="204"/>
      <c r="J59" s="64"/>
      <c r="K59" s="64"/>
      <c r="L59" s="64"/>
      <c r="M59" s="64"/>
      <c r="N59" s="64"/>
    </row>
    <row r="60" spans="3:14">
      <c r="D60" s="66" t="str">
        <f>HL_FLU_Other_Recurrent_Activity_B</f>
        <v>Other Recurrent Activity 2</v>
      </c>
      <c r="E60" s="632" t="str">
        <f ca="1">OFFSET(FLU_LU!$D$77,$G$2,0)</f>
        <v>USD</v>
      </c>
      <c r="F60" s="625">
        <f>IF($G$2=1,INCREMENTAL!G44,INCREMENTAL!I44)</f>
        <v>0</v>
      </c>
      <c r="G60" s="637">
        <f t="shared" si="24"/>
        <v>0</v>
      </c>
      <c r="H60" s="646">
        <f t="shared" si="25"/>
        <v>0</v>
      </c>
      <c r="I60" s="204"/>
      <c r="J60" s="64"/>
      <c r="K60" s="64"/>
      <c r="L60" s="64"/>
      <c r="M60" s="64"/>
      <c r="N60" s="64"/>
    </row>
    <row r="61" spans="3:14">
      <c r="D61" s="66" t="str">
        <f>HL_FLU_Other_Recurrent_Activity_C</f>
        <v>Other Recurrent Activity 3</v>
      </c>
      <c r="E61" s="632" t="str">
        <f ca="1">OFFSET(FLU_LU!$D$77,$G$2,0)</f>
        <v>USD</v>
      </c>
      <c r="F61" s="625">
        <f>IF($G$2=1,INCREMENTAL!G45,INCREMENTAL!I45)</f>
        <v>0</v>
      </c>
      <c r="G61" s="637">
        <f t="shared" si="24"/>
        <v>0</v>
      </c>
      <c r="H61" s="646">
        <f t="shared" si="25"/>
        <v>0</v>
      </c>
      <c r="I61" s="204"/>
      <c r="J61" s="64"/>
      <c r="K61" s="64"/>
      <c r="L61" s="64"/>
      <c r="M61" s="64"/>
      <c r="N61" s="64"/>
    </row>
    <row r="62" spans="3:14">
      <c r="E62" s="650" t="str">
        <f ca="1">OFFSET(FLU_LU!$D$77,$G$2,0)</f>
        <v>USD</v>
      </c>
      <c r="F62" s="627">
        <f>IF($G$2=1,INCREMENTAL!G46,INCREMENTAL!I46)</f>
        <v>0</v>
      </c>
      <c r="G62" s="638">
        <f>SUM(G59:G61)</f>
        <v>0</v>
      </c>
      <c r="H62" s="647">
        <f t="shared" si="25"/>
        <v>0</v>
      </c>
      <c r="I62" s="626">
        <f t="shared" ref="I62:N62" si="26">SUM(I59:I61)</f>
        <v>0</v>
      </c>
      <c r="J62" s="626">
        <f t="shared" si="26"/>
        <v>0</v>
      </c>
      <c r="K62" s="626">
        <f t="shared" si="26"/>
        <v>0</v>
      </c>
      <c r="L62" s="626">
        <f t="shared" si="26"/>
        <v>0</v>
      </c>
      <c r="M62" s="626">
        <f t="shared" si="26"/>
        <v>0</v>
      </c>
      <c r="N62" s="626">
        <f t="shared" si="26"/>
        <v>0</v>
      </c>
    </row>
    <row r="63" spans="3:14">
      <c r="G63" s="636"/>
      <c r="H63" s="644"/>
    </row>
    <row r="64" spans="3:14">
      <c r="G64" s="636"/>
      <c r="H64" s="644"/>
    </row>
    <row r="65" spans="1:14" ht="18.600000000000001" thickBot="1">
      <c r="A65" s="511" t="s">
        <v>864</v>
      </c>
      <c r="E65" s="651" t="str">
        <f ca="1">OFFSET(FLU_LU!$D$77,$G$2,0)</f>
        <v>USD</v>
      </c>
      <c r="F65" s="629">
        <f ca="1">IF($G$2=1,INCREMENTAL!G49,INCREMENTAL!I49)</f>
        <v>39997.675848484847</v>
      </c>
      <c r="G65" s="639">
        <f ca="1">SUM(G29,G34,G39,G44,G52,G57,G62)</f>
        <v>-34342.675848484847</v>
      </c>
      <c r="H65" s="648">
        <f t="shared" ref="H65" si="27">SUM(I65:N65)</f>
        <v>5655</v>
      </c>
      <c r="I65" s="629">
        <f t="shared" ref="I65:N65" si="28">SUM(I29,I34,I39,I44,I52,I57,I62)</f>
        <v>5000</v>
      </c>
      <c r="J65" s="629">
        <f t="shared" si="28"/>
        <v>655</v>
      </c>
      <c r="K65" s="629">
        <f t="shared" si="28"/>
        <v>0</v>
      </c>
      <c r="L65" s="629">
        <f t="shared" si="28"/>
        <v>0</v>
      </c>
      <c r="M65" s="629">
        <f t="shared" si="28"/>
        <v>0</v>
      </c>
      <c r="N65" s="629">
        <f t="shared" si="28"/>
        <v>0</v>
      </c>
    </row>
    <row r="66" spans="1:14">
      <c r="G66" s="636"/>
      <c r="H66" s="644"/>
    </row>
    <row r="67" spans="1:14">
      <c r="G67" s="636"/>
      <c r="H67" s="644"/>
    </row>
    <row r="68" spans="1:14" ht="18">
      <c r="B68" s="511" t="s">
        <v>861</v>
      </c>
      <c r="G68" s="636"/>
      <c r="H68" s="644"/>
    </row>
    <row r="69" spans="1:14">
      <c r="G69" s="636"/>
      <c r="H69" s="644"/>
    </row>
    <row r="70" spans="1:14" ht="18">
      <c r="C70" s="511" t="str">
        <f>PROCUR!E47</f>
        <v>Vaccines</v>
      </c>
      <c r="E70" s="510"/>
      <c r="G70" s="636"/>
      <c r="H70" s="644"/>
    </row>
    <row r="71" spans="1:14">
      <c r="D71" s="66" t="str">
        <f>PROCUR!F48</f>
        <v>Single Vaccine Dose in Prefilled Auto-Destruct Syringe</v>
      </c>
      <c r="E71" s="632" t="str">
        <f ca="1">OFFSET(FLU_LU!$D$77,$G$2,0)</f>
        <v>USD</v>
      </c>
      <c r="F71" s="625">
        <f>IF($G$2=1,INCREMENTAL!G55,INCREMENTAL!I55)</f>
        <v>72345</v>
      </c>
      <c r="G71" s="637">
        <f t="shared" ref="G71:G73" si="29">H71-F71</f>
        <v>-2345</v>
      </c>
      <c r="H71" s="646">
        <f t="shared" ref="H71:H80" si="30">SUM(I71:N71)</f>
        <v>70000</v>
      </c>
      <c r="I71" s="643"/>
      <c r="J71" s="115">
        <v>20000</v>
      </c>
      <c r="K71" s="115"/>
      <c r="L71" s="115"/>
      <c r="M71" s="115">
        <v>50000</v>
      </c>
      <c r="N71" s="115"/>
    </row>
    <row r="72" spans="1:14">
      <c r="D72" s="66" t="str">
        <f>PROCUR!F49</f>
        <v>Single Vaccine Dose in Vial</v>
      </c>
      <c r="E72" s="632" t="str">
        <f ca="1">OFFSET(FLU_LU!$D$77,$G$2,0)</f>
        <v>USD</v>
      </c>
      <c r="F72" s="625">
        <f>IF($G$2=1,INCREMENTAL!G56,INCREMENTAL!I56)</f>
        <v>1673.2099999999998</v>
      </c>
      <c r="G72" s="637">
        <f t="shared" si="29"/>
        <v>-0.20999999999980901</v>
      </c>
      <c r="H72" s="646">
        <f t="shared" si="30"/>
        <v>1673</v>
      </c>
      <c r="I72" s="643"/>
      <c r="J72" s="115"/>
      <c r="K72" s="115"/>
      <c r="L72" s="115"/>
      <c r="M72" s="115">
        <v>1673</v>
      </c>
      <c r="N72" s="115"/>
    </row>
    <row r="73" spans="1:14">
      <c r="E73" s="650" t="str">
        <f ca="1">OFFSET(FLU_LU!$D$77,$G$2,0)</f>
        <v>USD</v>
      </c>
      <c r="F73" s="627">
        <f>IF($G$2=1,INCREMENTAL!G57,INCREMENTAL!I57)</f>
        <v>74018.210000000006</v>
      </c>
      <c r="G73" s="638">
        <f t="shared" si="29"/>
        <v>-2345.2100000000064</v>
      </c>
      <c r="H73" s="647">
        <f t="shared" si="30"/>
        <v>71673</v>
      </c>
      <c r="I73" s="627">
        <f t="shared" ref="I73:N73" si="31">SUM(I71:I72)</f>
        <v>0</v>
      </c>
      <c r="J73" s="627">
        <f t="shared" si="31"/>
        <v>20000</v>
      </c>
      <c r="K73" s="627">
        <f t="shared" si="31"/>
        <v>0</v>
      </c>
      <c r="L73" s="627">
        <f t="shared" si="31"/>
        <v>0</v>
      </c>
      <c r="M73" s="627">
        <f t="shared" si="31"/>
        <v>51673</v>
      </c>
      <c r="N73" s="627">
        <f t="shared" si="31"/>
        <v>0</v>
      </c>
    </row>
    <row r="74" spans="1:14">
      <c r="G74" s="636"/>
      <c r="H74" s="644"/>
    </row>
    <row r="75" spans="1:14" ht="18">
      <c r="C75" s="511" t="str">
        <f>PROCUR!E57</f>
        <v>Injection Supplies</v>
      </c>
      <c r="E75" s="510"/>
      <c r="G75" s="636"/>
      <c r="H75" s="644"/>
    </row>
    <row r="76" spans="1:14">
      <c r="D76" s="66" t="str">
        <f>PROCUR!F58</f>
        <v>Auto Destruct Injection Syringe</v>
      </c>
      <c r="E76" s="632" t="str">
        <f ca="1">OFFSET(FLU_LU!$D$77,$G$2,0)</f>
        <v>USD</v>
      </c>
      <c r="F76" s="625">
        <f>IF($G$2=1,INCREMENTAL!G60,INCREMENTAL!I60)</f>
        <v>29.68</v>
      </c>
      <c r="G76" s="637">
        <f t="shared" ref="G76:G78" si="32">H76-F76</f>
        <v>0.32000000000000028</v>
      </c>
      <c r="H76" s="646">
        <f t="shared" si="30"/>
        <v>30</v>
      </c>
      <c r="I76" s="643"/>
      <c r="J76" s="115"/>
      <c r="K76" s="115"/>
      <c r="L76" s="115"/>
      <c r="M76" s="115">
        <v>30</v>
      </c>
      <c r="N76" s="115"/>
    </row>
    <row r="77" spans="1:14">
      <c r="D77" s="66" t="str">
        <f>PROCUR!F59</f>
        <v>Safety Box (100 capacity) to hold administered syringes</v>
      </c>
      <c r="E77" s="632" t="str">
        <f ca="1">OFFSET(FLU_LU!$D$77,$G$2,0)</f>
        <v>USD</v>
      </c>
      <c r="F77" s="625">
        <f>IF($G$2=1,INCREMENTAL!G61,INCREMENTAL!I61)</f>
        <v>8.0399999999999991</v>
      </c>
      <c r="G77" s="637">
        <f t="shared" si="32"/>
        <v>-3.9999999999999147E-2</v>
      </c>
      <c r="H77" s="646">
        <f t="shared" si="30"/>
        <v>8</v>
      </c>
      <c r="I77" s="643"/>
      <c r="J77" s="115"/>
      <c r="K77" s="115"/>
      <c r="L77" s="115"/>
      <c r="M77" s="115">
        <v>8</v>
      </c>
      <c r="N77" s="115"/>
    </row>
    <row r="78" spans="1:14">
      <c r="E78" s="650" t="str">
        <f ca="1">OFFSET(FLU_LU!$D$77,$G$2,0)</f>
        <v>USD</v>
      </c>
      <c r="F78" s="627">
        <f>IF($G$2=1,INCREMENTAL!G62,INCREMENTAL!I62)</f>
        <v>37.72</v>
      </c>
      <c r="G78" s="638">
        <f t="shared" si="32"/>
        <v>0.28000000000000114</v>
      </c>
      <c r="H78" s="647">
        <f t="shared" si="30"/>
        <v>38</v>
      </c>
      <c r="I78" s="627">
        <f t="shared" ref="I78:N78" si="33">SUM(I76:I77)</f>
        <v>0</v>
      </c>
      <c r="J78" s="627">
        <f t="shared" si="33"/>
        <v>0</v>
      </c>
      <c r="K78" s="627">
        <f t="shared" si="33"/>
        <v>0</v>
      </c>
      <c r="L78" s="627">
        <f t="shared" si="33"/>
        <v>0</v>
      </c>
      <c r="M78" s="627">
        <f t="shared" si="33"/>
        <v>38</v>
      </c>
      <c r="N78" s="627">
        <f t="shared" si="33"/>
        <v>0</v>
      </c>
    </row>
    <row r="79" spans="1:14">
      <c r="G79" s="636"/>
      <c r="H79" s="644"/>
    </row>
    <row r="80" spans="1:14" ht="18.600000000000001" thickBot="1">
      <c r="A80" s="511" t="s">
        <v>862</v>
      </c>
      <c r="D80" s="516"/>
      <c r="E80" s="652" t="str">
        <f ca="1">OFFSET(FLU_LU!$D$77,$G$2,0)</f>
        <v>USD</v>
      </c>
      <c r="F80" s="629">
        <f>IF($G$2=1,INCREMENTAL!G64,INCREMENTAL!I64)</f>
        <v>74055.930000000008</v>
      </c>
      <c r="G80" s="639">
        <f>SUM(G73,G78)</f>
        <v>-2344.9300000000062</v>
      </c>
      <c r="H80" s="648">
        <f t="shared" si="30"/>
        <v>71711</v>
      </c>
      <c r="I80" s="629">
        <f t="shared" ref="I80:N80" si="34">SUM(I73,I78)</f>
        <v>0</v>
      </c>
      <c r="J80" s="629">
        <f t="shared" si="34"/>
        <v>20000</v>
      </c>
      <c r="K80" s="629">
        <f t="shared" si="34"/>
        <v>0</v>
      </c>
      <c r="L80" s="629">
        <f t="shared" si="34"/>
        <v>0</v>
      </c>
      <c r="M80" s="629">
        <f t="shared" si="34"/>
        <v>51711</v>
      </c>
      <c r="N80" s="629">
        <f t="shared" si="34"/>
        <v>0</v>
      </c>
    </row>
    <row r="81" spans="1:14" ht="15.6" thickTop="1" thickBot="1">
      <c r="D81" s="516"/>
      <c r="E81" s="516"/>
      <c r="G81" s="636"/>
      <c r="H81" s="644"/>
    </row>
    <row r="82" spans="1:14" ht="19.2" thickTop="1" thickBot="1">
      <c r="A82" s="511" t="s">
        <v>869</v>
      </c>
      <c r="D82" s="516"/>
      <c r="E82" s="640" t="str">
        <f ca="1">OFFSET(FLU_LU!$D$77,$G$2,0)</f>
        <v>USD</v>
      </c>
      <c r="F82" s="640">
        <f ca="1">SUM(F65,F80)</f>
        <v>114053.60584848485</v>
      </c>
      <c r="G82" s="641">
        <f ca="1">SUM(G65,G80)</f>
        <v>-36687.605848484855</v>
      </c>
      <c r="H82" s="649">
        <f>SUM(I82:N82)</f>
        <v>77366</v>
      </c>
      <c r="I82" s="640">
        <f t="shared" ref="I82:N82" si="35">SUM(I65,I80)</f>
        <v>5000</v>
      </c>
      <c r="J82" s="640">
        <f t="shared" si="35"/>
        <v>20655</v>
      </c>
      <c r="K82" s="640">
        <f t="shared" si="35"/>
        <v>0</v>
      </c>
      <c r="L82" s="640">
        <f t="shared" si="35"/>
        <v>0</v>
      </c>
      <c r="M82" s="640">
        <f t="shared" si="35"/>
        <v>51711</v>
      </c>
      <c r="N82" s="640">
        <f t="shared" si="35"/>
        <v>0</v>
      </c>
    </row>
    <row r="83" spans="1:14" ht="15" thickTop="1">
      <c r="D83" s="516"/>
      <c r="E83" s="516"/>
      <c r="G83" s="636"/>
      <c r="H83" s="644"/>
    </row>
    <row r="84" spans="1:14">
      <c r="D84" s="516"/>
      <c r="E84" s="516"/>
      <c r="G84" s="636"/>
      <c r="H84" s="644"/>
    </row>
    <row r="85" spans="1:14" ht="18">
      <c r="A85" s="511" t="s">
        <v>868</v>
      </c>
      <c r="G85" s="636"/>
      <c r="H85" s="644"/>
    </row>
    <row r="86" spans="1:14">
      <c r="G86" s="636"/>
      <c r="H86" s="644"/>
    </row>
    <row r="87" spans="1:14" ht="18">
      <c r="C87" s="511" t="str">
        <f>HL_FLU_Cold_Chain_Expansion</f>
        <v>Cold Chain Expansion</v>
      </c>
      <c r="G87" s="636"/>
      <c r="H87" s="644"/>
    </row>
    <row r="88" spans="1:14">
      <c r="D88" s="66" t="str">
        <f>COLD!F25</f>
        <v>Republic Level Cold Storage Expansion</v>
      </c>
      <c r="E88" s="632" t="str">
        <f ca="1">OFFSET(FLU_LU!$D$77,$G$2,0)</f>
        <v>USD</v>
      </c>
      <c r="F88" s="625">
        <f ca="1">IF($G$2=1,COLD!J116,COLD!J119)</f>
        <v>1196</v>
      </c>
      <c r="G88" s="637">
        <f ca="1">H88-F88</f>
        <v>-1196</v>
      </c>
      <c r="H88" s="646">
        <f t="shared" ref="H88:H90" si="36">SUM(I88:N88)</f>
        <v>0</v>
      </c>
      <c r="I88" s="643"/>
      <c r="J88" s="115"/>
      <c r="K88" s="115"/>
      <c r="L88" s="115"/>
      <c r="M88" s="115"/>
      <c r="N88" s="115"/>
    </row>
    <row r="89" spans="1:14">
      <c r="D89" s="66" t="str">
        <f>COLD!F26</f>
        <v>County Level Cold Storage Expansion</v>
      </c>
      <c r="E89" s="632" t="str">
        <f ca="1">OFFSET(FLU_LU!$D$77,$G$2,0)</f>
        <v>USD</v>
      </c>
      <c r="F89" s="625">
        <f ca="1">IF($G$2=1,COLD!J216,COLD!J219)</f>
        <v>6120</v>
      </c>
      <c r="G89" s="637">
        <f ca="1">H89-F89</f>
        <v>-6120</v>
      </c>
      <c r="H89" s="646">
        <f t="shared" si="36"/>
        <v>0</v>
      </c>
      <c r="I89" s="643"/>
      <c r="J89" s="115"/>
      <c r="K89" s="115"/>
      <c r="L89" s="115"/>
      <c r="M89" s="115"/>
      <c r="N89" s="115"/>
    </row>
    <row r="90" spans="1:14">
      <c r="D90" s="66" t="str">
        <f>COLD!F27</f>
        <v>Health Facility Cold Storage Expansion</v>
      </c>
      <c r="E90" s="632" t="str">
        <f ca="1">OFFSET(FLU_LU!$D$77,$G$2,0)</f>
        <v>USD</v>
      </c>
      <c r="F90" s="625">
        <f ca="1">IF($G$2=1,COLD!J316,COLD!J319)</f>
        <v>53760</v>
      </c>
      <c r="G90" s="637">
        <f ca="1">H90-F90</f>
        <v>-53760</v>
      </c>
      <c r="H90" s="646">
        <f t="shared" si="36"/>
        <v>0</v>
      </c>
      <c r="I90" s="643"/>
      <c r="J90" s="115"/>
      <c r="K90" s="115"/>
      <c r="L90" s="115"/>
      <c r="M90" s="115"/>
      <c r="N90" s="115"/>
    </row>
    <row r="91" spans="1:14">
      <c r="E91" s="650" t="str">
        <f ca="1">OFFSET(FLU_LU!$D$77,$G$2,0)</f>
        <v>USD</v>
      </c>
      <c r="F91" s="627">
        <f ca="1">IF($G$2=1,INCREMENTAL!G73,INCREMENTAL!I73)</f>
        <v>7159.9704214167286</v>
      </c>
      <c r="G91" s="638">
        <f t="shared" ref="G91:N91" ca="1" si="37">SUM(G88:G90)</f>
        <v>-61076</v>
      </c>
      <c r="H91" s="647">
        <f t="shared" si="37"/>
        <v>0</v>
      </c>
      <c r="I91" s="626">
        <f t="shared" si="37"/>
        <v>0</v>
      </c>
      <c r="J91" s="626">
        <f t="shared" si="37"/>
        <v>0</v>
      </c>
      <c r="K91" s="626">
        <f t="shared" si="37"/>
        <v>0</v>
      </c>
      <c r="L91" s="626">
        <f t="shared" si="37"/>
        <v>0</v>
      </c>
      <c r="M91" s="626">
        <f t="shared" si="37"/>
        <v>0</v>
      </c>
      <c r="N91" s="626">
        <f t="shared" si="37"/>
        <v>0</v>
      </c>
    </row>
    <row r="92" spans="1:14" ht="18">
      <c r="C92" s="511" t="str">
        <f>HL_FLU_Other_Activities&amp;" (Capital Investment)"</f>
        <v>Other Activities (Capital Investment)</v>
      </c>
      <c r="G92" s="636"/>
      <c r="H92" s="644"/>
    </row>
    <row r="93" spans="1:14">
      <c r="D93" s="66" t="str">
        <f>Other!F22</f>
        <v>Vehicle Acquisition</v>
      </c>
      <c r="E93" s="632" t="str">
        <f ca="1">OFFSET(FLU_LU!$D$77,$G$2,0)</f>
        <v>USD</v>
      </c>
      <c r="F93" s="625">
        <f>IF($G$2=1,INCREMENTAL!G75,INCREMENTAL!I75)</f>
        <v>2900</v>
      </c>
      <c r="G93" s="637">
        <f>H93-F93</f>
        <v>-2900</v>
      </c>
      <c r="H93" s="646">
        <f t="shared" ref="H93:H95" si="38">SUM(I93:N93)</f>
        <v>0</v>
      </c>
      <c r="I93" s="204"/>
      <c r="J93" s="64"/>
      <c r="K93" s="64"/>
      <c r="L93" s="64"/>
      <c r="M93" s="64"/>
      <c r="N93" s="64"/>
    </row>
    <row r="94" spans="1:14">
      <c r="D94" s="66" t="str">
        <f>Other!F23</f>
        <v>Other Equipment (not Cold Chain) Acquisition</v>
      </c>
      <c r="E94" s="632" t="str">
        <f ca="1">OFFSET(FLU_LU!$D$77,$G$2,0)</f>
        <v>USD</v>
      </c>
      <c r="F94" s="625">
        <f>IF($G$2=1,INCREMENTAL!G76,INCREMENTAL!I76)</f>
        <v>300</v>
      </c>
      <c r="G94" s="637">
        <f>H94-F94</f>
        <v>-300</v>
      </c>
      <c r="H94" s="646">
        <f t="shared" si="38"/>
        <v>0</v>
      </c>
      <c r="I94" s="204"/>
      <c r="J94" s="64"/>
      <c r="K94" s="64"/>
      <c r="L94" s="64"/>
      <c r="M94" s="64"/>
      <c r="N94" s="64"/>
    </row>
    <row r="95" spans="1:14">
      <c r="D95" s="66" t="str">
        <f>Other!F24</f>
        <v>Other Capital Costs not elsewhere included</v>
      </c>
      <c r="E95" s="632" t="str">
        <f ca="1">OFFSET(FLU_LU!$D$77,$G$2,0)</f>
        <v>USD</v>
      </c>
      <c r="F95" s="625">
        <f>IF($G$2=1,INCREMENTAL!G77,INCREMENTAL!I77)</f>
        <v>650</v>
      </c>
      <c r="G95" s="637">
        <f>H95-F95</f>
        <v>-650</v>
      </c>
      <c r="H95" s="646">
        <f t="shared" si="38"/>
        <v>0</v>
      </c>
      <c r="I95" s="204"/>
      <c r="J95" s="64"/>
      <c r="K95" s="64"/>
      <c r="L95" s="64"/>
      <c r="M95" s="64"/>
      <c r="N95" s="64"/>
    </row>
    <row r="96" spans="1:14">
      <c r="E96" s="650" t="str">
        <f ca="1">OFFSET(FLU_LU!$D$77,$G$2,0)</f>
        <v>USD</v>
      </c>
      <c r="F96" s="627">
        <f>IF($G$2=1,INCREMENTAL!G78,INCREMENTAL!I78)</f>
        <v>3850</v>
      </c>
      <c r="G96" s="638">
        <f t="shared" ref="G96:N96" si="39">SUM(G93:G95)</f>
        <v>-3850</v>
      </c>
      <c r="H96" s="647">
        <f t="shared" si="39"/>
        <v>0</v>
      </c>
      <c r="I96" s="630">
        <f t="shared" si="39"/>
        <v>0</v>
      </c>
      <c r="J96" s="630">
        <f t="shared" si="39"/>
        <v>0</v>
      </c>
      <c r="K96" s="630">
        <f t="shared" si="39"/>
        <v>0</v>
      </c>
      <c r="L96" s="630">
        <f t="shared" si="39"/>
        <v>0</v>
      </c>
      <c r="M96" s="630">
        <f t="shared" si="39"/>
        <v>0</v>
      </c>
      <c r="N96" s="630">
        <f t="shared" si="39"/>
        <v>0</v>
      </c>
    </row>
    <row r="97" spans="1:14" ht="15" thickBot="1">
      <c r="E97" s="631"/>
      <c r="F97" s="628"/>
      <c r="G97" s="636"/>
      <c r="H97" s="644"/>
      <c r="I97" s="630"/>
      <c r="J97" s="630"/>
      <c r="K97" s="630"/>
      <c r="L97" s="630"/>
      <c r="M97" s="630"/>
      <c r="N97" s="630"/>
    </row>
    <row r="98" spans="1:14" ht="19.2" thickTop="1" thickBot="1">
      <c r="A98" s="511" t="s">
        <v>871</v>
      </c>
      <c r="E98" s="640" t="str">
        <f ca="1">OFFSET(FLU_LU!$D$77,$G$2,0)</f>
        <v>USD</v>
      </c>
      <c r="F98" s="640">
        <f t="shared" ref="F98:N98" ca="1" si="40">SUM(F91,F96)</f>
        <v>11009.970421416729</v>
      </c>
      <c r="G98" s="641">
        <f t="shared" ca="1" si="40"/>
        <v>-64926</v>
      </c>
      <c r="H98" s="649">
        <f t="shared" si="40"/>
        <v>0</v>
      </c>
      <c r="I98" s="640">
        <f t="shared" si="40"/>
        <v>0</v>
      </c>
      <c r="J98" s="640">
        <f t="shared" si="40"/>
        <v>0</v>
      </c>
      <c r="K98" s="640">
        <f t="shared" si="40"/>
        <v>0</v>
      </c>
      <c r="L98" s="640">
        <f t="shared" si="40"/>
        <v>0</v>
      </c>
      <c r="M98" s="640">
        <f t="shared" si="40"/>
        <v>0</v>
      </c>
      <c r="N98" s="640">
        <f t="shared" si="40"/>
        <v>0</v>
      </c>
    </row>
    <row r="99" spans="1:14" ht="15" thickTop="1"/>
  </sheetData>
  <mergeCells count="2">
    <mergeCell ref="B4:C4"/>
    <mergeCell ref="B3:K3"/>
  </mergeCells>
  <conditionalFormatting sqref="F10:N98">
    <cfRule type="expression" dxfId="14" priority="1">
      <formula>$G$2=1</formula>
    </cfRule>
  </conditionalFormatting>
  <conditionalFormatting sqref="G10:G13">
    <cfRule type="cellIs" dxfId="13" priority="12" operator="lessThan">
      <formula>0</formula>
    </cfRule>
  </conditionalFormatting>
  <conditionalFormatting sqref="G15:G17">
    <cfRule type="cellIs" dxfId="12" priority="2" operator="lessThan">
      <formula>0</formula>
    </cfRule>
  </conditionalFormatting>
  <conditionalFormatting sqref="G19">
    <cfRule type="cellIs" dxfId="11" priority="7" operator="lessThan">
      <formula>0</formula>
    </cfRule>
  </conditionalFormatting>
  <conditionalFormatting sqref="G26:G98">
    <cfRule type="cellIs" dxfId="10" priority="33" operator="lessThan">
      <formula>0</formula>
    </cfRule>
  </conditionalFormatting>
  <dataValidations disablePrompts="1" count="1">
    <dataValidation type="whole" showDropDown="1" showErrorMessage="1" errorTitle="Drop Down Box Cell Link" error="The value in a drop down box cell link must be a whole number within the control's lookup range rows." sqref="G2" xr:uid="{00000000-0002-0000-0800-000000000000}">
      <formula1>1</formula1>
      <formula2>ROWS(LU_FLU_Curr_Code)</formula2>
    </dataValidation>
  </dataValidations>
  <hyperlinks>
    <hyperlink ref="A4" location="$B$5" tooltip="Go to Top of Sheet" display="$B$5" xr:uid="{00000000-0004-0000-0800-000000000000}"/>
    <hyperlink ref="D4" location="HL_Sheet_Main_46" tooltip="Go to Next Sheet" display="HL_Sheet_Main_46" xr:uid="{00000000-0004-0000-0800-000001000000}"/>
    <hyperlink ref="B3" location="HL_Home" tooltip="Go to Table of Contents" display="HL_Home" xr:uid="{00000000-0004-0000-0800-000002000000}"/>
    <hyperlink ref="B4" location="HL_Sheet_Main_26" tooltip="Go to Previous Sheet" display="HL_Sheet_Main_26" xr:uid="{00000000-0004-0000-0800-000003000000}"/>
  </hyperlinks>
  <pageMargins left="0.39370078740157499" right="0.39370078740157499" top="0.59055118110236204" bottom="0.98425196850393704" header="0" footer="0.31496062992126"/>
  <pageSetup orientation="landscape" horizontalDpi="0" verticalDpi="0" r:id="rId1"/>
  <headerFooter>
    <oddFooter>&amp;L&amp;F
&amp;A
Printed: &amp;T on &amp;D&amp;CPage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8929" r:id="rId4" name="Drop Down 1">
              <controlPr defaultSize="0" autoFill="0" autoPict="0">
                <anchor moveWithCells="1">
                  <from>
                    <xdr:col>6</xdr:col>
                    <xdr:colOff>7620</xdr:colOff>
                    <xdr:row>1</xdr:row>
                    <xdr:rowOff>0</xdr:rowOff>
                  </from>
                  <to>
                    <xdr:col>6</xdr:col>
                    <xdr:colOff>1226820</xdr:colOff>
                    <xdr:row>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30" id="{EE4C2F94-9D8E-4376-B30B-24095FFD441F}">
            <x14:iconSet iconSet="3Triangles" custom="1">
              <x14:cfvo type="percent">
                <xm:f>0</xm:f>
              </x14:cfvo>
              <x14:cfvo type="num">
                <xm:f>0</xm:f>
              </x14:cfvo>
              <x14:cfvo type="num">
                <xm:f>0</xm:f>
              </x14:cfvo>
              <x14:cfIcon iconSet="3Flags" iconId="0"/>
              <x14:cfIcon iconSet="NoIcons" iconId="0"/>
              <x14:cfIcon iconSet="NoIcons" iconId="0"/>
            </x14:iconSet>
          </x14:cfRule>
          <xm:sqref>G10:G11 G13</xm:sqref>
        </x14:conditionalFormatting>
        <x14:conditionalFormatting xmlns:xm="http://schemas.microsoft.com/office/excel/2006/main">
          <x14:cfRule type="iconSet" priority="29" id="{10387B9C-5893-4BF1-9015-DE994632F27D}">
            <x14:iconSet iconSet="3Triangles" custom="1">
              <x14:cfvo type="percent">
                <xm:f>0</xm:f>
              </x14:cfvo>
              <x14:cfvo type="num">
                <xm:f>0</xm:f>
              </x14:cfvo>
              <x14:cfvo type="num">
                <xm:f>0</xm:f>
              </x14:cfvo>
              <x14:cfIcon iconSet="3Flags" iconId="0"/>
              <x14:cfIcon iconSet="NoIcons" iconId="0"/>
              <x14:cfIcon iconSet="NoIcons" iconId="0"/>
            </x14:iconSet>
          </x14:cfRule>
          <xm:sqref>G11</xm:sqref>
        </x14:conditionalFormatting>
        <x14:conditionalFormatting xmlns:xm="http://schemas.microsoft.com/office/excel/2006/main">
          <x14:cfRule type="iconSet" priority="13" id="{7C3F0AA7-5517-4A94-83E1-732A1ACC9730}">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14" id="{CC2D0E13-5B11-481B-BC3B-6B633C98BEF1}">
            <x14:iconSet iconSet="3Triangles" custom="1">
              <x14:cfvo type="percent">
                <xm:f>0</xm:f>
              </x14:cfvo>
              <x14:cfvo type="num">
                <xm:f>0</xm:f>
              </x14:cfvo>
              <x14:cfvo type="num">
                <xm:f>0</xm:f>
              </x14:cfvo>
              <x14:cfIcon iconSet="3Flags" iconId="0"/>
              <x14:cfIcon iconSet="NoIcons" iconId="0"/>
              <x14:cfIcon iconSet="NoIcons" iconId="0"/>
            </x14:iconSet>
          </x14:cfRule>
          <xm:sqref>G12</xm:sqref>
        </x14:conditionalFormatting>
        <x14:conditionalFormatting xmlns:xm="http://schemas.microsoft.com/office/excel/2006/main">
          <x14:cfRule type="iconSet" priority="27" id="{63212AF2-4312-4060-B9C9-C7AD9EF29E0D}">
            <x14:iconSet iconSet="3Triangles" custom="1">
              <x14:cfvo type="percent">
                <xm:f>0</xm:f>
              </x14:cfvo>
              <x14:cfvo type="num">
                <xm:f>0</xm:f>
              </x14:cfvo>
              <x14:cfvo type="num">
                <xm:f>0</xm:f>
              </x14:cfvo>
              <x14:cfIcon iconSet="3Flags" iconId="0"/>
              <x14:cfIcon iconSet="NoIcons" iconId="0"/>
              <x14:cfIcon iconSet="NoIcons" iconId="0"/>
            </x14:iconSet>
          </x14:cfRule>
          <xm:sqref>G13</xm:sqref>
        </x14:conditionalFormatting>
        <x14:conditionalFormatting xmlns:xm="http://schemas.microsoft.com/office/excel/2006/main">
          <x14:cfRule type="iconSet" priority="24" id="{7702141F-0C6C-46BF-AECD-8D3B8A3B3202}">
            <x14:iconSet iconSet="3Triangles" custom="1">
              <x14:cfvo type="percent">
                <xm:f>0</xm:f>
              </x14:cfvo>
              <x14:cfvo type="num">
                <xm:f>0</xm:f>
              </x14:cfvo>
              <x14:cfvo type="num">
                <xm:f>0</xm:f>
              </x14:cfvo>
              <x14:cfIcon iconSet="3Flags" iconId="0"/>
              <x14:cfIcon iconSet="NoIcons" iconId="0"/>
              <x14:cfIcon iconSet="NoIcons" iconId="0"/>
            </x14:iconSet>
          </x14:cfRule>
          <xm:sqref>G15</xm:sqref>
        </x14:conditionalFormatting>
        <x14:conditionalFormatting xmlns:xm="http://schemas.microsoft.com/office/excel/2006/main">
          <x14:cfRule type="iconSet" priority="25" id="{7363A042-A3FA-402B-BECB-A1D5F0B5CEF9}">
            <x14:iconSet iconSet="3Triangles" custom="1">
              <x14:cfvo type="percent">
                <xm:f>0</xm:f>
              </x14:cfvo>
              <x14:cfvo type="num">
                <xm:f>0</xm:f>
              </x14:cfvo>
              <x14:cfvo type="num">
                <xm:f>0</xm:f>
              </x14:cfvo>
              <x14:cfIcon iconSet="3Flags" iconId="0"/>
              <x14:cfIcon iconSet="NoIcons" iconId="0"/>
              <x14:cfIcon iconSet="NoIcons" iconId="0"/>
            </x14:iconSet>
          </x14:cfRule>
          <xm:sqref>G15:G16</xm:sqref>
        </x14:conditionalFormatting>
        <x14:conditionalFormatting xmlns:xm="http://schemas.microsoft.com/office/excel/2006/main">
          <x14:cfRule type="iconSet" priority="23" id="{BA4F6C0E-BD9D-473F-8F0D-C5442D1D1DD6}">
            <x14:iconSet iconSet="3Triangles" custom="1">
              <x14:cfvo type="percent">
                <xm:f>0</xm:f>
              </x14:cfvo>
              <x14:cfvo type="num">
                <xm:f>0</xm:f>
              </x14:cfvo>
              <x14:cfvo type="num">
                <xm:f>0</xm:f>
              </x14:cfvo>
              <x14:cfIcon iconSet="3Flags" iconId="0"/>
              <x14:cfIcon iconSet="NoIcons" iconId="0"/>
              <x14:cfIcon iconSet="NoIcons" iconId="0"/>
            </x14:iconSet>
          </x14:cfRule>
          <xm:sqref>G16</xm:sqref>
        </x14:conditionalFormatting>
        <x14:conditionalFormatting xmlns:xm="http://schemas.microsoft.com/office/excel/2006/main">
          <x14:cfRule type="iconSet" priority="3" id="{1818690A-0700-40E9-BCAD-15E8DAC0A9F9}">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4" id="{B43EB96D-E257-4ACD-B300-03325C1194F0}">
            <x14:iconSet iconSet="3Triangles" custom="1">
              <x14:cfvo type="percent">
                <xm:f>0</xm:f>
              </x14:cfvo>
              <x14:cfvo type="num">
                <xm:f>0</xm:f>
              </x14:cfvo>
              <x14:cfvo type="num">
                <xm:f>0</xm:f>
              </x14:cfvo>
              <x14:cfIcon iconSet="3Flags" iconId="0"/>
              <x14:cfIcon iconSet="NoIcons" iconId="0"/>
              <x14:cfIcon iconSet="NoIcons" iconId="0"/>
            </x14:iconSet>
          </x14:cfRule>
          <xm:sqref>G17</xm:sqref>
        </x14:conditionalFormatting>
        <x14:conditionalFormatting xmlns:xm="http://schemas.microsoft.com/office/excel/2006/main">
          <x14:cfRule type="iconSet" priority="5" id="{B78604D6-5AEB-4462-89A7-76E1FF96D40F}">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8" id="{922898EB-0F54-4054-AFA3-40BFF0285A38}">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10" id="{9CF930C4-AC42-4210-BDD0-C43319941192}">
            <x14:iconSet iconSet="3Triangles" custom="1">
              <x14:cfvo type="percent">
                <xm:f>0</xm:f>
              </x14:cfvo>
              <x14:cfvo type="num">
                <xm:f>0</xm:f>
              </x14:cfvo>
              <x14:cfvo type="num">
                <xm:f>0</xm:f>
              </x14:cfvo>
              <x14:cfIcon iconSet="3Flags" iconId="0"/>
              <x14:cfIcon iconSet="NoIcons" iconId="0"/>
              <x14:cfIcon iconSet="NoIcons" iconId="0"/>
            </x14:iconSet>
          </x14:cfRule>
          <xm:sqref>G19</xm:sqref>
        </x14:conditionalFormatting>
        <x14:conditionalFormatting xmlns:xm="http://schemas.microsoft.com/office/excel/2006/main">
          <x14:cfRule type="iconSet" priority="91" id="{4B02F4A0-AFCE-4D9D-98DF-99D23D101961}">
            <x14:iconSet iconSet="3Triangles" custom="1">
              <x14:cfvo type="percent">
                <xm:f>0</xm:f>
              </x14:cfvo>
              <x14:cfvo type="num">
                <xm:f>0</xm:f>
              </x14:cfvo>
              <x14:cfvo type="num">
                <xm:f>0</xm:f>
              </x14:cfvo>
              <x14:cfIcon iconSet="3Flags" iconId="0"/>
              <x14:cfIcon iconSet="NoIcons" iconId="0"/>
              <x14:cfIcon iconSet="NoIcons" iconId="0"/>
            </x14:iconSet>
          </x14:cfRule>
          <xm:sqref>G26:G97</xm:sqref>
        </x14:conditionalFormatting>
        <x14:conditionalFormatting xmlns:xm="http://schemas.microsoft.com/office/excel/2006/main">
          <x14:cfRule type="iconSet" priority="88" id="{970EE385-224C-4234-AAE8-7B538789CCD2}">
            <x14:iconSet iconSet="3Triangles" custom="1">
              <x14:cfvo type="percent">
                <xm:f>0</xm:f>
              </x14:cfvo>
              <x14:cfvo type="num">
                <xm:f>0</xm:f>
              </x14:cfvo>
              <x14:cfvo type="num">
                <xm:f>0</xm:f>
              </x14:cfvo>
              <x14:cfIcon iconSet="3Flags" iconId="0"/>
              <x14:cfIcon iconSet="NoIcons" iconId="0"/>
              <x14:cfIcon iconSet="NoIcons" iconId="0"/>
            </x14:iconSet>
          </x14:cfRule>
          <xm:sqref>G27</xm:sqref>
        </x14:conditionalFormatting>
        <x14:conditionalFormatting xmlns:xm="http://schemas.microsoft.com/office/excel/2006/main">
          <x14:cfRule type="iconSet" priority="87" id="{34C35191-356A-4FCB-B6F2-9A40E1C82D30}">
            <x14:iconSet iconSet="3Triangles" custom="1">
              <x14:cfvo type="percent">
                <xm:f>0</xm:f>
              </x14:cfvo>
              <x14:cfvo type="num">
                <xm:f>0</xm:f>
              </x14:cfvo>
              <x14:cfvo type="num">
                <xm:f>0</xm:f>
              </x14:cfvo>
              <x14:cfIcon iconSet="3Flags" iconId="0"/>
              <x14:cfIcon iconSet="NoIcons" iconId="0"/>
              <x14:cfIcon iconSet="NoIcons" iconId="0"/>
            </x14:iconSet>
          </x14:cfRule>
          <xm:sqref>G28</xm:sqref>
        </x14:conditionalFormatting>
        <x14:conditionalFormatting xmlns:xm="http://schemas.microsoft.com/office/excel/2006/main">
          <x14:cfRule type="iconSet" priority="86" id="{4A6C604E-6F31-4D25-965A-D4BB1DD7EA55}">
            <x14:iconSet iconSet="3Triangles" custom="1">
              <x14:cfvo type="percent">
                <xm:f>0</xm:f>
              </x14:cfvo>
              <x14:cfvo type="num">
                <xm:f>0</xm:f>
              </x14:cfvo>
              <x14:cfvo type="num">
                <xm:f>0</xm:f>
              </x14:cfvo>
              <x14:cfIcon iconSet="3Flags" iconId="0"/>
              <x14:cfIcon iconSet="NoIcons" iconId="0"/>
              <x14:cfIcon iconSet="NoIcons" iconId="0"/>
            </x14:iconSet>
          </x14:cfRule>
          <xm:sqref>G29</xm:sqref>
        </x14:conditionalFormatting>
        <x14:conditionalFormatting xmlns:xm="http://schemas.microsoft.com/office/excel/2006/main">
          <x14:cfRule type="iconSet" priority="67" id="{1BB318CF-10AC-467E-BEC0-0C95725F2BF9}">
            <x14:iconSet iconSet="3Triangles" custom="1">
              <x14:cfvo type="percent">
                <xm:f>0</xm:f>
              </x14:cfvo>
              <x14:cfvo type="num">
                <xm:f>0</xm:f>
              </x14:cfvo>
              <x14:cfvo type="num">
                <xm:f>0</xm:f>
              </x14:cfvo>
              <x14:cfIcon iconSet="3Flags" iconId="0"/>
              <x14:cfIcon iconSet="NoIcons" iconId="0"/>
              <x14:cfIcon iconSet="NoIcons" iconId="0"/>
            </x14:iconSet>
          </x14:cfRule>
          <xm:sqref>G31:G33</xm:sqref>
        </x14:conditionalFormatting>
        <x14:conditionalFormatting xmlns:xm="http://schemas.microsoft.com/office/excel/2006/main">
          <x14:cfRule type="iconSet" priority="49" id="{DE1C80E0-39C9-4111-A612-57E91F012B9D}">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72" id="{7A9FFF8F-5EC2-42FE-8756-339FFBE5B79F}">
            <x14:iconSet iconSet="3Triangles" custom="1">
              <x14:cfvo type="percent">
                <xm:f>0</xm:f>
              </x14:cfvo>
              <x14:cfvo type="num">
                <xm:f>0</xm:f>
              </x14:cfvo>
              <x14:cfvo type="num">
                <xm:f>0</xm:f>
              </x14:cfvo>
              <x14:cfIcon iconSet="3Flags" iconId="0"/>
              <x14:cfIcon iconSet="NoIcons" iconId="0"/>
              <x14:cfIcon iconSet="NoIcons" iconId="0"/>
            </x14:iconSet>
          </x14:cfRule>
          <xm:sqref>G34</xm:sqref>
        </x14:conditionalFormatting>
        <x14:conditionalFormatting xmlns:xm="http://schemas.microsoft.com/office/excel/2006/main">
          <x14:cfRule type="iconSet" priority="66" id="{AE8CAD9A-CC75-41B9-949D-C19AF02CF402}">
            <x14:iconSet iconSet="3Triangles" custom="1">
              <x14:cfvo type="percent">
                <xm:f>0</xm:f>
              </x14:cfvo>
              <x14:cfvo type="num">
                <xm:f>0</xm:f>
              </x14:cfvo>
              <x14:cfvo type="num">
                <xm:f>0</xm:f>
              </x14:cfvo>
              <x14:cfIcon iconSet="3Flags" iconId="0"/>
              <x14:cfIcon iconSet="NoIcons" iconId="0"/>
              <x14:cfIcon iconSet="NoIcons" iconId="0"/>
            </x14:iconSet>
          </x14:cfRule>
          <xm:sqref>G36:G38</xm:sqref>
        </x14:conditionalFormatting>
        <x14:conditionalFormatting xmlns:xm="http://schemas.microsoft.com/office/excel/2006/main">
          <x14:cfRule type="iconSet" priority="71" id="{80D30649-0AFF-4160-A69B-E8B2F5454062}">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48" id="{19EEF865-4000-4EAC-9AC5-C57C49B903C2}">
            <x14:iconSet iconSet="3Triangles" custom="1">
              <x14:cfvo type="percent">
                <xm:f>0</xm:f>
              </x14:cfvo>
              <x14:cfvo type="num">
                <xm:f>0</xm:f>
              </x14:cfvo>
              <x14:cfvo type="num">
                <xm:f>0</xm:f>
              </x14:cfvo>
              <x14:cfIcon iconSet="3Flags" iconId="0"/>
              <x14:cfIcon iconSet="NoIcons" iconId="0"/>
              <x14:cfIcon iconSet="NoIcons" iconId="0"/>
            </x14:iconSet>
          </x14:cfRule>
          <xm:sqref>G39</xm:sqref>
        </x14:conditionalFormatting>
        <x14:conditionalFormatting xmlns:xm="http://schemas.microsoft.com/office/excel/2006/main">
          <x14:cfRule type="iconSet" priority="65" id="{8E5AA2EF-BA78-4FFA-9FE3-7643D774A45F}">
            <x14:iconSet iconSet="3Triangles" custom="1">
              <x14:cfvo type="percent">
                <xm:f>0</xm:f>
              </x14:cfvo>
              <x14:cfvo type="num">
                <xm:f>0</xm:f>
              </x14:cfvo>
              <x14:cfvo type="num">
                <xm:f>0</xm:f>
              </x14:cfvo>
              <x14:cfIcon iconSet="3Flags" iconId="0"/>
              <x14:cfIcon iconSet="NoIcons" iconId="0"/>
              <x14:cfIcon iconSet="NoIcons" iconId="0"/>
            </x14:iconSet>
          </x14:cfRule>
          <xm:sqref>G41:G43</xm:sqref>
        </x14:conditionalFormatting>
        <x14:conditionalFormatting xmlns:xm="http://schemas.microsoft.com/office/excel/2006/main">
          <x14:cfRule type="iconSet" priority="47" id="{B63AECEB-0210-4512-9C72-7E847C7D48E6}">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70" id="{7C8DBDF8-B2BE-4AB4-9D94-56E25DCAD15E}">
            <x14:iconSet iconSet="3Triangles" custom="1">
              <x14:cfvo type="percent">
                <xm:f>0</xm:f>
              </x14:cfvo>
              <x14:cfvo type="num">
                <xm:f>0</xm:f>
              </x14:cfvo>
              <x14:cfvo type="num">
                <xm:f>0</xm:f>
              </x14:cfvo>
              <x14:cfIcon iconSet="3Flags" iconId="0"/>
              <x14:cfIcon iconSet="NoIcons" iconId="0"/>
              <x14:cfIcon iconSet="NoIcons" iconId="0"/>
            </x14:iconSet>
          </x14:cfRule>
          <xm:sqref>G44</xm:sqref>
        </x14:conditionalFormatting>
        <x14:conditionalFormatting xmlns:xm="http://schemas.microsoft.com/office/excel/2006/main">
          <x14:cfRule type="iconSet" priority="64" id="{CCC15419-87FA-4255-AD98-4F7F2871C6FA}">
            <x14:iconSet iconSet="3Triangles" custom="1">
              <x14:cfvo type="percent">
                <xm:f>0</xm:f>
              </x14:cfvo>
              <x14:cfvo type="num">
                <xm:f>0</xm:f>
              </x14:cfvo>
              <x14:cfvo type="num">
                <xm:f>0</xm:f>
              </x14:cfvo>
              <x14:cfIcon iconSet="3Flags" iconId="0"/>
              <x14:cfIcon iconSet="NoIcons" iconId="0"/>
              <x14:cfIcon iconSet="NoIcons" iconId="0"/>
            </x14:iconSet>
          </x14:cfRule>
          <xm:sqref>G46:G51</xm:sqref>
        </x14:conditionalFormatting>
        <x14:conditionalFormatting xmlns:xm="http://schemas.microsoft.com/office/excel/2006/main">
          <x14:cfRule type="iconSet" priority="46" id="{3B8A0C01-EB29-44E5-A1A1-EF419B4515A1}">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69" id="{CEB02DEB-55F8-484E-B8F0-3EEB75CF26E4}">
            <x14:iconSet iconSet="3Triangles" custom="1">
              <x14:cfvo type="percent">
                <xm:f>0</xm:f>
              </x14:cfvo>
              <x14:cfvo type="num">
                <xm:f>0</xm:f>
              </x14:cfvo>
              <x14:cfvo type="num">
                <xm:f>0</xm:f>
              </x14:cfvo>
              <x14:cfIcon iconSet="3Flags" iconId="0"/>
              <x14:cfIcon iconSet="NoIcons" iconId="0"/>
              <x14:cfIcon iconSet="NoIcons" iconId="0"/>
            </x14:iconSet>
          </x14:cfRule>
          <xm:sqref>G52</xm:sqref>
        </x14:conditionalFormatting>
        <x14:conditionalFormatting xmlns:xm="http://schemas.microsoft.com/office/excel/2006/main">
          <x14:cfRule type="iconSet" priority="63" id="{674E0661-9D0F-4702-BDFF-6ECE789E0604}">
            <x14:iconSet iconSet="3Triangles" custom="1">
              <x14:cfvo type="percent">
                <xm:f>0</xm:f>
              </x14:cfvo>
              <x14:cfvo type="num">
                <xm:f>0</xm:f>
              </x14:cfvo>
              <x14:cfvo type="num">
                <xm:f>0</xm:f>
              </x14:cfvo>
              <x14:cfIcon iconSet="3Flags" iconId="0"/>
              <x14:cfIcon iconSet="NoIcons" iconId="0"/>
              <x14:cfIcon iconSet="NoIcons" iconId="0"/>
            </x14:iconSet>
          </x14:cfRule>
          <xm:sqref>G54:G56</xm:sqref>
        </x14:conditionalFormatting>
        <x14:conditionalFormatting xmlns:xm="http://schemas.microsoft.com/office/excel/2006/main">
          <x14:cfRule type="iconSet" priority="68" id="{CCD12967-F2D0-4E20-B062-1E0395049C3F}">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45" id="{BFAA98D5-6CA7-46ED-9CC8-ED7B079E937E}">
            <x14:iconSet iconSet="3Triangles" custom="1">
              <x14:cfvo type="percent">
                <xm:f>0</xm:f>
              </x14:cfvo>
              <x14:cfvo type="num">
                <xm:f>0</xm:f>
              </x14:cfvo>
              <x14:cfvo type="num">
                <xm:f>0</xm:f>
              </x14:cfvo>
              <x14:cfIcon iconSet="3Flags" iconId="0"/>
              <x14:cfIcon iconSet="NoIcons" iconId="0"/>
              <x14:cfIcon iconSet="NoIcons" iconId="0"/>
            </x14:iconSet>
          </x14:cfRule>
          <xm:sqref>G57</xm:sqref>
        </x14:conditionalFormatting>
        <x14:conditionalFormatting xmlns:xm="http://schemas.microsoft.com/office/excel/2006/main">
          <x14:cfRule type="iconSet" priority="62" id="{CF9D85B0-23F1-4D4D-891F-BFB4127377D8}">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56" id="{C12F5B43-06F0-41E9-81B4-586B347BCB28}">
            <x14:iconSet iconSet="3Triangles" custom="1">
              <x14:cfvo type="percent">
                <xm:f>0</xm:f>
              </x14:cfvo>
              <x14:cfvo type="num">
                <xm:f>0</xm:f>
              </x14:cfvo>
              <x14:cfvo type="num">
                <xm:f>0</xm:f>
              </x14:cfvo>
              <x14:cfIcon iconSet="3Flags" iconId="0"/>
              <x14:cfIcon iconSet="NoIcons" iconId="0"/>
              <x14:cfIcon iconSet="NoIcons" iconId="0"/>
            </x14:iconSet>
          </x14:cfRule>
          <xm:sqref>G59:G61</xm:sqref>
        </x14:conditionalFormatting>
        <x14:conditionalFormatting xmlns:xm="http://schemas.microsoft.com/office/excel/2006/main">
          <x14:cfRule type="iconSet" priority="44" id="{9C10933A-EF1D-4E44-9BCC-8406263E3DC9}">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55" id="{DE6344DD-3245-45A2-81BE-F14034A7E7E1}">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74" id="{6575F005-EC5C-4EA2-8CBB-D405F5EE1864}">
            <x14:iconSet iconSet="3Triangles" custom="1">
              <x14:cfvo type="percent">
                <xm:f>0</xm:f>
              </x14:cfvo>
              <x14:cfvo type="num">
                <xm:f>0</xm:f>
              </x14:cfvo>
              <x14:cfvo type="num">
                <xm:f>0</xm:f>
              </x14:cfvo>
              <x14:cfIcon iconSet="3Flags" iconId="0"/>
              <x14:cfIcon iconSet="NoIcons" iconId="0"/>
              <x14:cfIcon iconSet="NoIcons" iconId="0"/>
            </x14:iconSet>
          </x14:cfRule>
          <xm:sqref>G62</xm:sqref>
        </x14:conditionalFormatting>
        <x14:conditionalFormatting xmlns:xm="http://schemas.microsoft.com/office/excel/2006/main">
          <x14:cfRule type="iconSet" priority="73" id="{889A120C-2841-4228-A052-C4D6410AD287}">
            <x14:iconSet iconSet="3Triangles" custom="1">
              <x14:cfvo type="percent">
                <xm:f>0</xm:f>
              </x14:cfvo>
              <x14:cfvo type="num">
                <xm:f>0</xm:f>
              </x14:cfvo>
              <x14:cfvo type="num">
                <xm:f>0</xm:f>
              </x14:cfvo>
              <x14:cfIcon iconSet="3Flags" iconId="0"/>
              <x14:cfIcon iconSet="NoIcons" iconId="0"/>
              <x14:cfIcon iconSet="NoIcons" iconId="0"/>
            </x14:iconSet>
          </x14:cfRule>
          <xm:sqref>G65</xm:sqref>
        </x14:conditionalFormatting>
        <x14:conditionalFormatting xmlns:xm="http://schemas.microsoft.com/office/excel/2006/main">
          <x14:cfRule type="iconSet" priority="60" id="{0B759091-3C65-4605-B1E2-5A2549422027}">
            <x14:iconSet iconSet="3Triangles" custom="1">
              <x14:cfvo type="percent">
                <xm:f>0</xm:f>
              </x14:cfvo>
              <x14:cfvo type="num">
                <xm:f>0</xm:f>
              </x14:cfvo>
              <x14:cfvo type="num">
                <xm:f>0</xm:f>
              </x14:cfvo>
              <x14:cfIcon iconSet="3Flags" iconId="0"/>
              <x14:cfIcon iconSet="NoIcons" iconId="0"/>
              <x14:cfIcon iconSet="NoIcons" iconId="0"/>
            </x14:iconSet>
          </x14:cfRule>
          <xm:sqref>G71:G72</xm:sqref>
        </x14:conditionalFormatting>
        <x14:conditionalFormatting xmlns:xm="http://schemas.microsoft.com/office/excel/2006/main">
          <x14:cfRule type="iconSet" priority="59" id="{3AF5A517-7153-4C5A-81D8-C5F02AAB2C7A}">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43" id="{E96D6208-FF76-4978-8B24-F9E48092CB1D}">
            <x14:iconSet iconSet="3Triangles" custom="1">
              <x14:cfvo type="percent">
                <xm:f>0</xm:f>
              </x14:cfvo>
              <x14:cfvo type="num">
                <xm:f>0</xm:f>
              </x14:cfvo>
              <x14:cfvo type="num">
                <xm:f>0</xm:f>
              </x14:cfvo>
              <x14:cfIcon iconSet="3Flags" iconId="0"/>
              <x14:cfIcon iconSet="NoIcons" iconId="0"/>
              <x14:cfIcon iconSet="NoIcons" iconId="0"/>
            </x14:iconSet>
          </x14:cfRule>
          <xm:sqref>G73</xm:sqref>
        </x14:conditionalFormatting>
        <x14:conditionalFormatting xmlns:xm="http://schemas.microsoft.com/office/excel/2006/main">
          <x14:cfRule type="iconSet" priority="58" id="{3EE4B223-02BC-4B61-BAFD-27DAB728D28B}">
            <x14:iconSet iconSet="3Triangles" custom="1">
              <x14:cfvo type="percent">
                <xm:f>0</xm:f>
              </x14:cfvo>
              <x14:cfvo type="num">
                <xm:f>0</xm:f>
              </x14:cfvo>
              <x14:cfvo type="num">
                <xm:f>0</xm:f>
              </x14:cfvo>
              <x14:cfIcon iconSet="3Flags" iconId="0"/>
              <x14:cfIcon iconSet="NoIcons" iconId="0"/>
              <x14:cfIcon iconSet="NoIcons" iconId="0"/>
            </x14:iconSet>
          </x14:cfRule>
          <xm:sqref>G76:G77</xm:sqref>
        </x14:conditionalFormatting>
        <x14:conditionalFormatting xmlns:xm="http://schemas.microsoft.com/office/excel/2006/main">
          <x14:cfRule type="iconSet" priority="57" id="{A7F9A527-C97F-450E-AA3E-FC91F21FAAED}">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42" id="{EE50BB6D-522F-4FFC-9481-E7EBE669EF9A}">
            <x14:iconSet iconSet="3Triangles" custom="1">
              <x14:cfvo type="percent">
                <xm:f>0</xm:f>
              </x14:cfvo>
              <x14:cfvo type="num">
                <xm:f>0</xm:f>
              </x14:cfvo>
              <x14:cfvo type="num">
                <xm:f>0</xm:f>
              </x14:cfvo>
              <x14:cfIcon iconSet="3Flags" iconId="0"/>
              <x14:cfIcon iconSet="NoIcons" iconId="0"/>
              <x14:cfIcon iconSet="NoIcons" iconId="0"/>
            </x14:iconSet>
          </x14:cfRule>
          <xm:sqref>G78</xm:sqref>
        </x14:conditionalFormatting>
        <x14:conditionalFormatting xmlns:xm="http://schemas.microsoft.com/office/excel/2006/main">
          <x14:cfRule type="iconSet" priority="39" id="{A462D9A3-1484-4EAA-8A2F-6BAB70618203}">
            <x14:iconSet iconSet="3Triangles" custom="1">
              <x14:cfvo type="percent">
                <xm:f>0</xm:f>
              </x14:cfvo>
              <x14:cfvo type="num">
                <xm:f>0</xm:f>
              </x14:cfvo>
              <x14:cfvo type="num">
                <xm:f>0</xm:f>
              </x14:cfvo>
              <x14:cfIcon iconSet="3Flags" iconId="0"/>
              <x14:cfIcon iconSet="NoIcons" iconId="0"/>
              <x14:cfIcon iconSet="NoIcons" iconId="0"/>
            </x14:iconSet>
          </x14:cfRule>
          <xm:sqref>G80</xm:sqref>
        </x14:conditionalFormatting>
        <x14:conditionalFormatting xmlns:xm="http://schemas.microsoft.com/office/excel/2006/main">
          <x14:cfRule type="iconSet" priority="54" id="{A2FA4DE3-FEC5-4B46-8227-EFE0D0CBF42E}">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38" id="{CC7F1B8D-D3C3-48A9-A059-49AA28B23231}">
            <x14:iconSet iconSet="3Triangles" custom="1">
              <x14:cfvo type="percent">
                <xm:f>0</xm:f>
              </x14:cfvo>
              <x14:cfvo type="num">
                <xm:f>0</xm:f>
              </x14:cfvo>
              <x14:cfvo type="num">
                <xm:f>0</xm:f>
              </x14:cfvo>
              <x14:cfIcon iconSet="3Flags" iconId="0"/>
              <x14:cfIcon iconSet="NoIcons" iconId="0"/>
              <x14:cfIcon iconSet="NoIcons" iconId="0"/>
            </x14:iconSet>
          </x14:cfRule>
          <xm:sqref>G82</xm:sqref>
        </x14:conditionalFormatting>
        <x14:conditionalFormatting xmlns:xm="http://schemas.microsoft.com/office/excel/2006/main">
          <x14:cfRule type="iconSet" priority="41" id="{586C05F7-0D35-43BE-9811-E9789E8BCAB5}">
            <x14:iconSet iconSet="3Triangles" custom="1">
              <x14:cfvo type="percent">
                <xm:f>0</xm:f>
              </x14:cfvo>
              <x14:cfvo type="num">
                <xm:f>0</xm:f>
              </x14:cfvo>
              <x14:cfvo type="num">
                <xm:f>0</xm:f>
              </x14:cfvo>
              <x14:cfIcon iconSet="3Flags" iconId="0"/>
              <x14:cfIcon iconSet="NoIcons" iconId="0"/>
              <x14:cfIcon iconSet="NoIcons" iconId="0"/>
            </x14:iconSet>
          </x14:cfRule>
          <xm:sqref>G91</xm:sqref>
        </x14:conditionalFormatting>
        <x14:conditionalFormatting xmlns:xm="http://schemas.microsoft.com/office/excel/2006/main">
          <x14:cfRule type="iconSet" priority="40" id="{20A6B2E9-3190-4FBB-959A-6C05B55117F4}">
            <x14:iconSet iconSet="3Triangles" custom="1">
              <x14:cfvo type="percent">
                <xm:f>0</xm:f>
              </x14:cfvo>
              <x14:cfvo type="num">
                <xm:f>0</xm:f>
              </x14:cfvo>
              <x14:cfvo type="num">
                <xm:f>0</xm:f>
              </x14:cfvo>
              <x14:cfIcon iconSet="3Flags" iconId="0"/>
              <x14:cfIcon iconSet="NoIcons" iconId="0"/>
              <x14:cfIcon iconSet="NoIcons" iconId="0"/>
            </x14:iconSet>
          </x14:cfRule>
          <xm:sqref>G96</xm:sqref>
        </x14:conditionalFormatting>
        <x14:conditionalFormatting xmlns:xm="http://schemas.microsoft.com/office/excel/2006/main">
          <x14:cfRule type="iconSet" priority="31" id="{2694BE40-5787-4511-964E-EAABF27370D3}">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34" id="{F9441C13-547B-4671-8DAA-4491B426DD98}">
            <x14:iconSet iconSet="3Triangles" custom="1">
              <x14:cfvo type="percent">
                <xm:f>0</xm:f>
              </x14:cfvo>
              <x14:cfvo type="num">
                <xm:f>0</xm:f>
              </x14:cfvo>
              <x14:cfvo type="num">
                <xm:f>0</xm:f>
              </x14:cfvo>
              <x14:cfIcon iconSet="3Flags" iconId="0"/>
              <x14:cfIcon iconSet="NoIcons" iconId="0"/>
              <x14:cfIcon iconSet="NoIcons" iconId="0"/>
            </x14:iconSet>
          </x14:cfRule>
          <x14:cfRule type="iconSet" priority="36" id="{EEAAE941-0457-47A1-BAC4-D258396454EA}">
            <x14:iconSet iconSet="3Triangles" custom="1">
              <x14:cfvo type="percent">
                <xm:f>0</xm:f>
              </x14:cfvo>
              <x14:cfvo type="num">
                <xm:f>0</xm:f>
              </x14:cfvo>
              <x14:cfvo type="num">
                <xm:f>0</xm:f>
              </x14:cfvo>
              <x14:cfIcon iconSet="3Flags" iconId="0"/>
              <x14:cfIcon iconSet="NoIcons" iconId="0"/>
              <x14:cfIcon iconSet="NoIcons" iconId="0"/>
            </x14:iconSet>
          </x14:cfRule>
          <xm:sqref>G98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3CBCB931EE5B41B7DC5B397BC983C8" ma:contentTypeVersion="21" ma:contentTypeDescription="Create a new document." ma:contentTypeScope="" ma:versionID="8099f8856796b955c9e05f292aea806a">
  <xsd:schema xmlns:xsd="http://www.w3.org/2001/XMLSchema" xmlns:xs="http://www.w3.org/2001/XMLSchema" xmlns:p="http://schemas.microsoft.com/office/2006/metadata/properties" xmlns:ns1="http://schemas.microsoft.com/sharepoint/v3" xmlns:ns2="d159ad41-f995-48b1-ace8-2aeeec44a68a" xmlns:ns3="14c9eaec-fb32-4d62-8237-3ae2a8c3df22" targetNamespace="http://schemas.microsoft.com/office/2006/metadata/properties" ma:root="true" ma:fieldsID="4b07f559143c02481189ba6ee9619e95" ns1:_="" ns2:_="" ns3:_="">
    <xsd:import namespace="http://schemas.microsoft.com/sharepoint/v3"/>
    <xsd:import namespace="d159ad41-f995-48b1-ace8-2aeeec44a68a"/>
    <xsd:import namespace="14c9eaec-fb32-4d62-8237-3ae2a8c3df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Path"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59ad41-f995-48b1-ace8-2aeeec44a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70d68e6-a8d2-4eff-b5bc-b0eb521acf4d" ma:termSetId="09814cd3-568e-fe90-9814-8d621ff8fb84" ma:anchorId="fba54fb3-c3e1-fe81-a776-ca4b69148c4d" ma:open="true" ma:isKeyword="false">
      <xsd:complexType>
        <xsd:sequence>
          <xsd:element ref="pc:Terms" minOccurs="0" maxOccurs="1"/>
        </xsd:sequence>
      </xsd:complexType>
    </xsd:element>
    <xsd:element name="Path" ma:index="26" nillable="true" ma:displayName="Path" ma:description="Folder Path" ma:format="Dropdown" ma:internalName="Path">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c9eaec-fb32-4d62-8237-3ae2a8c3df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86ff11a-94a0-44fa-83a1-225f832d4896}" ma:internalName="TaxCatchAll" ma:showField="CatchAllData" ma:web="14c9eaec-fb32-4d62-8237-3ae2a8c3d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4c9eaec-fb32-4d62-8237-3ae2a8c3df22" xsi:nil="true"/>
    <Path xmlns="d159ad41-f995-48b1-ace8-2aeeec44a68a" xsi:nil="true"/>
    <_ip_UnifiedCompliancePolicyProperties xmlns="http://schemas.microsoft.com/sharepoint/v3" xsi:nil="true"/>
    <lcf76f155ced4ddcb4097134ff3c332f xmlns="d159ad41-f995-48b1-ace8-2aeeec44a6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D01E54-885D-4B95-A628-3E60C9D167B0}"/>
</file>

<file path=customXml/itemProps2.xml><?xml version="1.0" encoding="utf-8"?>
<ds:datastoreItem xmlns:ds="http://schemas.openxmlformats.org/officeDocument/2006/customXml" ds:itemID="{694780A8-4E9C-4575-AE30-1F64B419AEE1}"/>
</file>

<file path=customXml/itemProps3.xml><?xml version="1.0" encoding="utf-8"?>
<ds:datastoreItem xmlns:ds="http://schemas.openxmlformats.org/officeDocument/2006/customXml" ds:itemID="{935C94DC-00F5-4C64-947B-68C4ED0EE7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785</vt:i4>
      </vt:variant>
    </vt:vector>
  </HeadingPairs>
  <TitlesOfParts>
    <vt:vector size="828" baseType="lpstr">
      <vt:lpstr>Cover</vt:lpstr>
      <vt:lpstr>Contents</vt:lpstr>
      <vt:lpstr>Home</vt:lpstr>
      <vt:lpstr>1</vt:lpstr>
      <vt:lpstr>DASHBOARD</vt:lpstr>
      <vt:lpstr>SD-Analysis</vt:lpstr>
      <vt:lpstr>Graphs</vt:lpstr>
      <vt:lpstr>INCREMENTAL</vt:lpstr>
      <vt:lpstr>FINANCING</vt:lpstr>
      <vt:lpstr>2</vt:lpstr>
      <vt:lpstr>Time_Period</vt:lpstr>
      <vt:lpstr>Financial</vt:lpstr>
      <vt:lpstr>Labels</vt:lpstr>
      <vt:lpstr>TGT_POPS</vt:lpstr>
      <vt:lpstr>MICRO</vt:lpstr>
      <vt:lpstr>PROCUR</vt:lpstr>
      <vt:lpstr>DISTRIB</vt:lpstr>
      <vt:lpstr>TRAIN</vt:lpstr>
      <vt:lpstr>IEC</vt:lpstr>
      <vt:lpstr>SD_IMM</vt:lpstr>
      <vt:lpstr>SUPV</vt:lpstr>
      <vt:lpstr>Other</vt:lpstr>
      <vt:lpstr>COLD</vt:lpstr>
      <vt:lpstr>3</vt:lpstr>
      <vt:lpstr>MICROPLANNING_BA</vt:lpstr>
      <vt:lpstr>DISTRIBUTION_BA</vt:lpstr>
      <vt:lpstr>TRAINING_BA</vt:lpstr>
      <vt:lpstr>SOC_MOB_BA</vt:lpstr>
      <vt:lpstr>SUPERV_BA</vt:lpstr>
      <vt:lpstr>SD_ROUTINE_BA</vt:lpstr>
      <vt:lpstr>SD_SIA_BA</vt:lpstr>
      <vt:lpstr>OTHER_BA</vt:lpstr>
      <vt:lpstr>App_SC</vt:lpstr>
      <vt:lpstr>Reference_Data_BA</vt:lpstr>
      <vt:lpstr>Cost_Ingredients</vt:lpstr>
      <vt:lpstr>Doc_SSC</vt:lpstr>
      <vt:lpstr>About_Flutool_P_MS</vt:lpstr>
      <vt:lpstr>About_Flu_BO</vt:lpstr>
      <vt:lpstr>LU_SSC</vt:lpstr>
      <vt:lpstr>TS_LU</vt:lpstr>
      <vt:lpstr>FLU_LU</vt:lpstr>
      <vt:lpstr>Chks_SSC</vt:lpstr>
      <vt:lpstr>Chks_BO</vt:lpstr>
      <vt:lpstr>Alt_Chks_Msg</vt:lpstr>
      <vt:lpstr>Alt_Chks_Ttl_Areas</vt:lpstr>
      <vt:lpstr>CA_Alt_Chks</vt:lpstr>
      <vt:lpstr>CA_Alt_Chks_Area_Names</vt:lpstr>
      <vt:lpstr>CA_Alt_Chks_Flags</vt:lpstr>
      <vt:lpstr>CA_Alt_Chks_Inc</vt:lpstr>
      <vt:lpstr>CA_Err_Chks</vt:lpstr>
      <vt:lpstr>CA_Err_Chks_Area_Names</vt:lpstr>
      <vt:lpstr>CA_Err_Chks_Flags</vt:lpstr>
      <vt:lpstr>CA_Err_Chks_Inc</vt:lpstr>
      <vt:lpstr>CA_Sens_Chks</vt:lpstr>
      <vt:lpstr>CA_Sens_Chks_Area_Names</vt:lpstr>
      <vt:lpstr>CA_Sens_Chks_Flags</vt:lpstr>
      <vt:lpstr>CA_Sens_Chks_Inc</vt:lpstr>
      <vt:lpstr>CB_Alt_Chks_Show_Msg</vt:lpstr>
      <vt:lpstr>CB_Err_Chks_Show_Msg</vt:lpstr>
      <vt:lpstr>CB_Sens_Chks_Show_Msg</vt:lpstr>
      <vt:lpstr>CB_Vacc_MethodA</vt:lpstr>
      <vt:lpstr>COST_PER_FIP</vt:lpstr>
      <vt:lpstr>DASH_COSTS</vt:lpstr>
      <vt:lpstr>DASH_OUTCOMES</vt:lpstr>
      <vt:lpstr>Dashboard</vt:lpstr>
      <vt:lpstr>DD_FLU_CAP_GROUPA_1</vt:lpstr>
      <vt:lpstr>DD_FLU_CAP_GROUPA_2</vt:lpstr>
      <vt:lpstr>DD_FLU_CAP_GROUPA_3</vt:lpstr>
      <vt:lpstr>DD_FLU_CAP_GROUPA_4</vt:lpstr>
      <vt:lpstr>DD_FLU_CAP_GROUPA_5</vt:lpstr>
      <vt:lpstr>DD_FLU_CAP_GROUPA_6</vt:lpstr>
      <vt:lpstr>DD_FLU_CAP_PRICES_GROUP_C_1</vt:lpstr>
      <vt:lpstr>DD_FLU_CAP_PRICES_GROUP_C_10</vt:lpstr>
      <vt:lpstr>DD_FLU_CAP_PRICES_GROUP_C_11</vt:lpstr>
      <vt:lpstr>DD_FLU_CAP_PRICES_GROUP_C_2</vt:lpstr>
      <vt:lpstr>DD_FLU_CAP_PRICES_GROUP_C_3</vt:lpstr>
      <vt:lpstr>DD_FLU_CAP_PRICES_GROUP_C_4</vt:lpstr>
      <vt:lpstr>DD_FLU_CAP_PRICES_GROUP_C_5</vt:lpstr>
      <vt:lpstr>DD_FLU_CAP_PRICES_GROUP_C_6</vt:lpstr>
      <vt:lpstr>DD_FLU_CAP_PRICES_GROUP_C_7</vt:lpstr>
      <vt:lpstr>DD_FLU_CAP_PRICES_GROUP_C_8</vt:lpstr>
      <vt:lpstr>DD_FLU_CAP_PRICES_GROUP_C_9</vt:lpstr>
      <vt:lpstr>DD_FLU_CAP_PRICES_GROUP_D_1</vt:lpstr>
      <vt:lpstr>DD_FLU_CAP_PRICES_GROUP_D_2</vt:lpstr>
      <vt:lpstr>DD_FLU_CAP_PRICES_GROUP_D_3</vt:lpstr>
      <vt:lpstr>DD_FLU_CAP_PRICES_GROUP_D_4</vt:lpstr>
      <vt:lpstr>DD_FLU_CAP_PRICES_GROUP_D_5</vt:lpstr>
      <vt:lpstr>DD_FLU_CAP_PRICES_GROUPB_1</vt:lpstr>
      <vt:lpstr>DD_FLU_CAP_PRICES_GROUPB_2</vt:lpstr>
      <vt:lpstr>DD_FLU_CAP_PRICES_GROUPB_3</vt:lpstr>
      <vt:lpstr>DD_FLU_CAP_PRICES_GROUPB_4</vt:lpstr>
      <vt:lpstr>DD_FLU_CAP_PRICES_GROUPB_5</vt:lpstr>
      <vt:lpstr>DD_FLU_CAP_PRICES_GROUPB_6</vt:lpstr>
      <vt:lpstr>DD_FLU_CAP_PRICES_GROUPB_7</vt:lpstr>
      <vt:lpstr>DD_FLU_DETAIL_MICRO_A_1</vt:lpstr>
      <vt:lpstr>DD_FLU_DETAIL_MICRO_A_10</vt:lpstr>
      <vt:lpstr>DD_FLU_DETAIL_MICRO_A_11</vt:lpstr>
      <vt:lpstr>DD_FLU_DETAIL_MICRO_A_12</vt:lpstr>
      <vt:lpstr>DD_FLU_DETAIL_MICRO_A_13</vt:lpstr>
      <vt:lpstr>DD_FLU_DETAIL_MICRO_A_14</vt:lpstr>
      <vt:lpstr>DD_FLU_DETAIL_MICRO_A_15</vt:lpstr>
      <vt:lpstr>DD_FLU_DETAIL_MICRO_A_2</vt:lpstr>
      <vt:lpstr>DD_FLU_DETAIL_MICRO_A_3</vt:lpstr>
      <vt:lpstr>DD_FLU_DETAIL_MICRO_A_4</vt:lpstr>
      <vt:lpstr>DD_FLU_DETAIL_MICRO_A_5</vt:lpstr>
      <vt:lpstr>DD_FLU_DETAIL_MICRO_A_6</vt:lpstr>
      <vt:lpstr>DD_FLU_DETAIL_MICRO_A_7</vt:lpstr>
      <vt:lpstr>DD_FLU_DETAIL_MICRO_A_8</vt:lpstr>
      <vt:lpstr>DD_FLU_DETAIL_MICRO_A_9</vt:lpstr>
      <vt:lpstr>DD_FLU_DETAILED_MICRO_B_PERS_1</vt:lpstr>
      <vt:lpstr>DD_FLU_DETAILED_MICRO_B_PERS_10</vt:lpstr>
      <vt:lpstr>DD_FLU_DETAILED_MICRO_B_PERS_11</vt:lpstr>
      <vt:lpstr>DD_FLU_DETAILED_MICRO_B_PERS_12</vt:lpstr>
      <vt:lpstr>DD_FLU_DETAILED_MICRO_B_PERS_13</vt:lpstr>
      <vt:lpstr>DD_FLU_DETAILED_MICRO_B_PERS_14</vt:lpstr>
      <vt:lpstr>DD_FLU_DETAILED_MICRO_B_PERS_15</vt:lpstr>
      <vt:lpstr>DD_FLU_DETAILED_MICRO_B_PERS_2</vt:lpstr>
      <vt:lpstr>DD_FLU_DETAILED_MICRO_B_PERS_3</vt:lpstr>
      <vt:lpstr>DD_FLU_DETAILED_MICRO_B_PERS_4</vt:lpstr>
      <vt:lpstr>DD_FLU_DETAILED_MICRO_B_PERS_5</vt:lpstr>
      <vt:lpstr>DD_FLU_DETAILED_MICRO_B_PERS_6</vt:lpstr>
      <vt:lpstr>DD_FLU_DETAILED_MICRO_B_PERS_7</vt:lpstr>
      <vt:lpstr>DD_FLU_DETAILED_MICRO_B_PERS_8</vt:lpstr>
      <vt:lpstr>DD_FLU_DETAILED_MICRO_B_PERS_9</vt:lpstr>
      <vt:lpstr>DD_FLU_Detailed_Micro_Time_1</vt:lpstr>
      <vt:lpstr>DD_FLU_Detailed_Micro_Time_10</vt:lpstr>
      <vt:lpstr>DD_FLU_Detailed_Micro_Time_11</vt:lpstr>
      <vt:lpstr>DD_FLU_Detailed_Micro_Time_12</vt:lpstr>
      <vt:lpstr>DD_FLU_Detailed_Micro_Time_13</vt:lpstr>
      <vt:lpstr>DD_FLU_Detailed_Micro_Time_14</vt:lpstr>
      <vt:lpstr>DD_FLU_Detailed_Micro_Time_15</vt:lpstr>
      <vt:lpstr>DD_FLU_Detailed_Micro_Time_2</vt:lpstr>
      <vt:lpstr>DD_FLU_Detailed_Micro_Time_3</vt:lpstr>
      <vt:lpstr>DD_FLU_Detailed_Micro_Time_4</vt:lpstr>
      <vt:lpstr>DD_FLU_Detailed_Micro_Time_5</vt:lpstr>
      <vt:lpstr>DD_FLU_Detailed_Micro_Time_6</vt:lpstr>
      <vt:lpstr>DD_FLU_Detailed_Micro_Time_7</vt:lpstr>
      <vt:lpstr>DD_FLU_Detailed_Micro_Time_8</vt:lpstr>
      <vt:lpstr>DD_FLU_Detailed_Micro_Time_9</vt:lpstr>
      <vt:lpstr>DD_FLU_DISTR_A_CURRENCY</vt:lpstr>
      <vt:lpstr>DD_FLU_DISTR_B_CURRENCY</vt:lpstr>
      <vt:lpstr>DD_FLU_DISTR_C_CURRENCY</vt:lpstr>
      <vt:lpstr>DD_FLU_IEC_A_CURRENCY</vt:lpstr>
      <vt:lpstr>DD_FLU_IEC_B_CURRENCY</vt:lpstr>
      <vt:lpstr>DD_FLU_IEC_C_CURRENCY</vt:lpstr>
      <vt:lpstr>DD_FLU_MICRO_1</vt:lpstr>
      <vt:lpstr>DD_FLU_MICRO_B_CURRENCY</vt:lpstr>
      <vt:lpstr>DD_FLU_Micro_Pers_Time_Unit_1</vt:lpstr>
      <vt:lpstr>DD_FLU_Micro_Pers_Time_Unit_10</vt:lpstr>
      <vt:lpstr>DD_FLU_Micro_Pers_Time_Unit_11</vt:lpstr>
      <vt:lpstr>DD_FLU_Micro_Pers_Time_Unit_12</vt:lpstr>
      <vt:lpstr>DD_FLU_Micro_Pers_Time_Unit_13</vt:lpstr>
      <vt:lpstr>DD_FLU_Micro_Pers_Time_Unit_14</vt:lpstr>
      <vt:lpstr>DD_FLU_Micro_Pers_Time_Unit_15</vt:lpstr>
      <vt:lpstr>DD_FLU_Micro_Pers_Time_Unit_2</vt:lpstr>
      <vt:lpstr>DD_FLU_Micro_Pers_Time_Unit_3</vt:lpstr>
      <vt:lpstr>DD_FLU_Micro_Pers_Time_Unit_4</vt:lpstr>
      <vt:lpstr>DD_FLU_Micro_Pers_Time_Unit_5</vt:lpstr>
      <vt:lpstr>DD_FLU_Micro_Pers_Time_Unit_6</vt:lpstr>
      <vt:lpstr>DD_FLU_Micro_Pers_Time_Unit_7</vt:lpstr>
      <vt:lpstr>DD_FLU_Micro_Pers_Time_Unit_8</vt:lpstr>
      <vt:lpstr>DD_FLU_Micro_Pers_Time_Unit_9</vt:lpstr>
      <vt:lpstr>DD_FLU_MICROA_SUPPL_1</vt:lpstr>
      <vt:lpstr>DD_FLU_MICROA_SUPPL_10</vt:lpstr>
      <vt:lpstr>DD_FLU_MICROA_SUPPL_11</vt:lpstr>
      <vt:lpstr>DD_FLU_MICROA_SUPPL_12</vt:lpstr>
      <vt:lpstr>DD_FLU_MICROA_SUPPL_13</vt:lpstr>
      <vt:lpstr>DD_FLU_MICROA_SUPPL_14</vt:lpstr>
      <vt:lpstr>DD_FLU_MICROA_SUPPL_15</vt:lpstr>
      <vt:lpstr>DD_FLU_MICROA_SUPPL_2</vt:lpstr>
      <vt:lpstr>DD_FLU_MICROA_SUPPL_3</vt:lpstr>
      <vt:lpstr>DD_FLU_MICROA_SUPPL_4</vt:lpstr>
      <vt:lpstr>DD_FLU_MICROA_SUPPL_5</vt:lpstr>
      <vt:lpstr>DD_FLU_MICROA_SUPPL_6</vt:lpstr>
      <vt:lpstr>DD_FLU_MICROA_SUPPL_7</vt:lpstr>
      <vt:lpstr>DD_FLU_MICROA_SUPPL_8</vt:lpstr>
      <vt:lpstr>DD_FLU_MICROA_SUPPL_9</vt:lpstr>
      <vt:lpstr>DD_FLU_MICROB_ALLOW_1</vt:lpstr>
      <vt:lpstr>DD_FLU_MICROB_ALLOW_10</vt:lpstr>
      <vt:lpstr>DD_FLU_MICROB_ALLOW_11</vt:lpstr>
      <vt:lpstr>DD_FLU_MICROB_ALLOW_12</vt:lpstr>
      <vt:lpstr>DD_FLU_MICROB_ALLOW_13</vt:lpstr>
      <vt:lpstr>DD_FLU_MICROB_ALLOW_14</vt:lpstr>
      <vt:lpstr>DD_FLU_MICROB_ALLOW_15</vt:lpstr>
      <vt:lpstr>DD_FLU_MICROB_ALLOW_2</vt:lpstr>
      <vt:lpstr>DD_FLU_MICROB_ALLOW_3</vt:lpstr>
      <vt:lpstr>DD_FLU_MICROB_ALLOW_4</vt:lpstr>
      <vt:lpstr>DD_FLU_MICROB_ALLOW_5</vt:lpstr>
      <vt:lpstr>DD_FLU_MICROB_ALLOW_6</vt:lpstr>
      <vt:lpstr>DD_FLU_MICROB_ALLOW_7</vt:lpstr>
      <vt:lpstr>DD_FLU_MICROB_ALLOW_8</vt:lpstr>
      <vt:lpstr>DD_FLU_MICROB_ALLOW_9</vt:lpstr>
      <vt:lpstr>DD_FLU_MICROB_ODC_1</vt:lpstr>
      <vt:lpstr>DD_FLU_MICROB_ODC_10</vt:lpstr>
      <vt:lpstr>DD_FLU_MICROB_ODC_11</vt:lpstr>
      <vt:lpstr>DD_FLU_MICROB_ODC_12</vt:lpstr>
      <vt:lpstr>DD_FLU_MICROB_ODC_13</vt:lpstr>
      <vt:lpstr>DD_FLU_MICROB_ODC_14</vt:lpstr>
      <vt:lpstr>DD_FLU_MICROB_ODC_15</vt:lpstr>
      <vt:lpstr>DD_FLU_MICROB_ODC_2</vt:lpstr>
      <vt:lpstr>DD_FLU_MICROB_ODC_3</vt:lpstr>
      <vt:lpstr>DD_FLU_MICROB_ODC_4</vt:lpstr>
      <vt:lpstr>DD_FLU_MICROB_ODC_5</vt:lpstr>
      <vt:lpstr>DD_FLU_MICROB_ODC_6</vt:lpstr>
      <vt:lpstr>DD_FLU_MICROB_ODC_7</vt:lpstr>
      <vt:lpstr>DD_FLU_MICROB_ODC_8</vt:lpstr>
      <vt:lpstr>DD_FLU_MICROB_ODC_9</vt:lpstr>
      <vt:lpstr>DD_FLU_MICROB_PERS_TIME_1</vt:lpstr>
      <vt:lpstr>DD_FLU_MICROB_PERS_TIME_10</vt:lpstr>
      <vt:lpstr>DD_FLU_MICROB_PERS_TIME_11</vt:lpstr>
      <vt:lpstr>DD_FLU_MICROB_PERS_TIME_12</vt:lpstr>
      <vt:lpstr>DD_FLU_MICROB_PERS_TIME_13</vt:lpstr>
      <vt:lpstr>DD_FLU_MICROB_PERS_TIME_14</vt:lpstr>
      <vt:lpstr>DD_FLU_MICROB_PERS_TIME_15</vt:lpstr>
      <vt:lpstr>DD_FLU_MICROB_PERS_TIME_2</vt:lpstr>
      <vt:lpstr>DD_FLU_MICROB_PERS_TIME_3</vt:lpstr>
      <vt:lpstr>DD_FLU_MICROB_PERS_TIME_4</vt:lpstr>
      <vt:lpstr>DD_FLU_MICROB_PERS_TIME_5</vt:lpstr>
      <vt:lpstr>DD_FLU_MICROB_PERS_TIME_6</vt:lpstr>
      <vt:lpstr>DD_FLU_MICROB_PERS_TIME_7</vt:lpstr>
      <vt:lpstr>DD_FLU_MICROB_PERS_TIME_8</vt:lpstr>
      <vt:lpstr>DD_FLU_MICROB_PERS_TIME_9</vt:lpstr>
      <vt:lpstr>DD_FLU_MICROB_SUPP_1</vt:lpstr>
      <vt:lpstr>DD_FLU_MICROB_SUPP_10</vt:lpstr>
      <vt:lpstr>DD_FLU_MICROB_SUPP_11</vt:lpstr>
      <vt:lpstr>DD_FLU_MICROB_SUPP_12</vt:lpstr>
      <vt:lpstr>DD_FLU_MICROB_SUPP_13</vt:lpstr>
      <vt:lpstr>DD_FLU_MICROB_SUPP_14</vt:lpstr>
      <vt:lpstr>DD_FLU_MICROB_SUPP_15</vt:lpstr>
      <vt:lpstr>DD_FLU_MICROB_SUPP_2</vt:lpstr>
      <vt:lpstr>DD_FLU_MICROB_SUPP_3</vt:lpstr>
      <vt:lpstr>DD_FLU_MICROB_SUPP_4</vt:lpstr>
      <vt:lpstr>DD_FLU_MICROB_SUPP_5</vt:lpstr>
      <vt:lpstr>DD_FLU_MICROB_SUPP_6</vt:lpstr>
      <vt:lpstr>DD_FLU_MICROB_SUPP_7</vt:lpstr>
      <vt:lpstr>DD_FLU_MICROB_SUPP_8</vt:lpstr>
      <vt:lpstr>DD_FLU_MICROB_SUPP_9</vt:lpstr>
      <vt:lpstr>DD_FLU_MICROC_ALLOW_1</vt:lpstr>
      <vt:lpstr>DD_FLU_MICROC_ALLOW_10</vt:lpstr>
      <vt:lpstr>DD_FLU_MICROC_ALLOW_11</vt:lpstr>
      <vt:lpstr>DD_FLU_MICROC_ALLOW_12</vt:lpstr>
      <vt:lpstr>DD_FLU_MICROC_ALLOW_13</vt:lpstr>
      <vt:lpstr>DD_FLU_MICROC_ALLOW_14</vt:lpstr>
      <vt:lpstr>DD_FLU_MICROC_ALLOW_15</vt:lpstr>
      <vt:lpstr>DD_FLU_MICROC_ALLOW_2</vt:lpstr>
      <vt:lpstr>DD_FLU_MICROC_ALLOW_3</vt:lpstr>
      <vt:lpstr>DD_FLU_MICROC_ALLOW_4</vt:lpstr>
      <vt:lpstr>DD_FLU_MICROC_ALLOW_5</vt:lpstr>
      <vt:lpstr>DD_FLU_MICROC_ALLOW_6</vt:lpstr>
      <vt:lpstr>DD_FLU_MICROC_ALLOW_7</vt:lpstr>
      <vt:lpstr>DD_FLU_MICROC_ALLOW_8</vt:lpstr>
      <vt:lpstr>DD_FLU_MICROC_ALLOW_9</vt:lpstr>
      <vt:lpstr>DD_FLU_MicroC_Currency</vt:lpstr>
      <vt:lpstr>DD_FLU_MICROC_PERSONNEL_1</vt:lpstr>
      <vt:lpstr>DD_FLU_MICROC_PERSONNEL_10</vt:lpstr>
      <vt:lpstr>DD_FLU_MICROC_PERSONNEL_11</vt:lpstr>
      <vt:lpstr>DD_FLU_MICROC_PERSONNEL_12</vt:lpstr>
      <vt:lpstr>DD_FLU_MICROC_PERSONNEL_13</vt:lpstr>
      <vt:lpstr>DD_FLU_MICROC_PERSONNEL_14</vt:lpstr>
      <vt:lpstr>DD_FLU_MICROC_PERSONNEL_15</vt:lpstr>
      <vt:lpstr>DD_FLU_MICROC_PERSONNEL_2</vt:lpstr>
      <vt:lpstr>DD_FLU_MICROC_PERSONNEL_3</vt:lpstr>
      <vt:lpstr>DD_FLU_MICROC_PERSONNEL_4</vt:lpstr>
      <vt:lpstr>DD_FLU_MICROC_PERSONNEL_5</vt:lpstr>
      <vt:lpstr>DD_FLU_MICROC_PERSONNEL_6</vt:lpstr>
      <vt:lpstr>DD_FLU_MICROC_PERSONNEL_7</vt:lpstr>
      <vt:lpstr>DD_FLU_MICROC_PERSONNEL_8</vt:lpstr>
      <vt:lpstr>DD_FLU_MICROC_PERSONNEL_9</vt:lpstr>
      <vt:lpstr>DD_FLU_MonEval_Activ_A_Group_C1</vt:lpstr>
      <vt:lpstr>DD_FLU_MonEval_Activ_A_Group_C2</vt:lpstr>
      <vt:lpstr>DD_FLU_MonEval_Activ_A_Group_C3</vt:lpstr>
      <vt:lpstr>DD_FLU_MonEval_Activ_A_Group_C4</vt:lpstr>
      <vt:lpstr>DD_FLU_MonEval_Activ_A_Group_C5</vt:lpstr>
      <vt:lpstr>DD_FLU_MonEval_Activ_A_Group_D1</vt:lpstr>
      <vt:lpstr>DD_FLU_MonEval_Activ_A_Group_D10</vt:lpstr>
      <vt:lpstr>DD_FLU_MonEval_Activ_A_Group_D2</vt:lpstr>
      <vt:lpstr>DD_FLU_MonEval_Activ_A_Group_D3</vt:lpstr>
      <vt:lpstr>DD_FLU_MonEval_Activ_A_Group_D4</vt:lpstr>
      <vt:lpstr>DD_FLU_MonEval_Activ_A_Group_D5</vt:lpstr>
      <vt:lpstr>DD_FLU_MonEval_Activ_A_Group_D6</vt:lpstr>
      <vt:lpstr>DD_FLU_MonEval_Activ_A_Group_D7</vt:lpstr>
      <vt:lpstr>DD_FLU_MonEval_Activ_A_Group_D8</vt:lpstr>
      <vt:lpstr>DD_FLU_MonEval_Activ_A_Group_D9</vt:lpstr>
      <vt:lpstr>DD_FLU_MonEval_Activ_A_Group_E1</vt:lpstr>
      <vt:lpstr>DD_FLU_MonEval_Activ_A_Group_E2</vt:lpstr>
      <vt:lpstr>DD_FLU_MonEval_Activ_A_Group_E3</vt:lpstr>
      <vt:lpstr>DD_FLU_MonEval_Activ_A_Group_E4</vt:lpstr>
      <vt:lpstr>DD_FLU_MonEval_Activ_A_Group_E5</vt:lpstr>
      <vt:lpstr>DD_FLU_MonEval_Activ_A_Group_E6</vt:lpstr>
      <vt:lpstr>DD_FLU_MonEval_Activ_A_Group_E7</vt:lpstr>
      <vt:lpstr>DD_FLU_MonEval_Activ_A_Group_E8</vt:lpstr>
      <vt:lpstr>DD_FLU_MonEval_Activ_A_Group_E9</vt:lpstr>
      <vt:lpstr>DD_FLU_MonEval_Activ_B_Group_B1</vt:lpstr>
      <vt:lpstr>DD_FLU_MonEval_Activ_B_Group_B2</vt:lpstr>
      <vt:lpstr>DD_FLU_MonEval_Activ_B_Group_B3</vt:lpstr>
      <vt:lpstr>DD_FLU_MonEval_Activ_B_Group_B4</vt:lpstr>
      <vt:lpstr>DD_FLU_MonEval_Activ_B_Group_B5</vt:lpstr>
      <vt:lpstr>DD_FLU_MonEval_Activ_B_Group_B6</vt:lpstr>
      <vt:lpstr>DD_FLU_MonEval_Activ_B_Group_C1</vt:lpstr>
      <vt:lpstr>DD_FLU_MonEval_Activ_B_Group_C2</vt:lpstr>
      <vt:lpstr>DD_FLU_MonEval_Activ_B_Group_C3</vt:lpstr>
      <vt:lpstr>DD_FLU_MonEval_Activ_B_Group_C4</vt:lpstr>
      <vt:lpstr>DD_FLU_MonEval_Activ_B_Group_C5</vt:lpstr>
      <vt:lpstr>DD_FLU_MonEval_Activ_B_Group_C6</vt:lpstr>
      <vt:lpstr>DD_FLU_MonEval_Activ_B_Group_D1</vt:lpstr>
      <vt:lpstr>DD_FLU_MonEval_Activ_B_Group_D10</vt:lpstr>
      <vt:lpstr>DD_FLU_MonEval_Activ_B_Group_D2</vt:lpstr>
      <vt:lpstr>DD_FLU_MonEval_Activ_B_Group_D3</vt:lpstr>
      <vt:lpstr>DD_FLU_MonEval_Activ_B_Group_D4</vt:lpstr>
      <vt:lpstr>DD_FLU_MonEval_Activ_B_Group_D5</vt:lpstr>
      <vt:lpstr>DD_FLU_MonEval_Activ_B_Group_D6</vt:lpstr>
      <vt:lpstr>DD_FLU_MonEval_Activ_B_Group_D7</vt:lpstr>
      <vt:lpstr>DD_FLU_MonEval_Activ_B_Group_D8</vt:lpstr>
      <vt:lpstr>DD_FLU_MonEval_Activ_B_Group_D9</vt:lpstr>
      <vt:lpstr>DD_FLU_MonEval_Activ_B_Group_E1</vt:lpstr>
      <vt:lpstr>DD_FLU_MonEval_Activ_B_Group_E2</vt:lpstr>
      <vt:lpstr>DD_FLU_MonEval_Activ_B_Group_E3</vt:lpstr>
      <vt:lpstr>DD_FLU_MonEval_Activ_B_Group_E4</vt:lpstr>
      <vt:lpstr>DD_FLU_MonEval_Activ_B_Group_E5</vt:lpstr>
      <vt:lpstr>DD_FLU_MonEval_Activ_B_Group_E6</vt:lpstr>
      <vt:lpstr>DD_FLU_MonEval_Activ_B_Group_E7</vt:lpstr>
      <vt:lpstr>DD_FLU_ODC_A_GroupB_1</vt:lpstr>
      <vt:lpstr>DD_FLU_ODC_A_GroupB_10</vt:lpstr>
      <vt:lpstr>DD_FLU_ODC_A_GroupB_11</vt:lpstr>
      <vt:lpstr>DD_FLU_ODC_A_GroupB_12</vt:lpstr>
      <vt:lpstr>DD_FLU_ODC_A_GroupB_13</vt:lpstr>
      <vt:lpstr>DD_FLU_ODC_A_GroupB_14</vt:lpstr>
      <vt:lpstr>DD_FLU_ODC_A_GroupB_15</vt:lpstr>
      <vt:lpstr>DD_FLU_ODC_A_GroupB_2</vt:lpstr>
      <vt:lpstr>DD_FLU_ODC_A_GroupB_3</vt:lpstr>
      <vt:lpstr>DD_FLU_ODC_A_GroupB_4</vt:lpstr>
      <vt:lpstr>DD_FLU_ODC_A_GroupB_5</vt:lpstr>
      <vt:lpstr>DD_FLU_ODC_A_GroupB_6</vt:lpstr>
      <vt:lpstr>DD_FLU_ODC_A_GroupB_7</vt:lpstr>
      <vt:lpstr>DD_FLU_ODC_A_GroupB_8</vt:lpstr>
      <vt:lpstr>DD_FLU_ODC_A_GroupB_9</vt:lpstr>
      <vt:lpstr>DD_FLU_ODC_A_GroupC_1</vt:lpstr>
      <vt:lpstr>DD_FLU_ODC_A_GroupC_10</vt:lpstr>
      <vt:lpstr>DD_FLU_ODC_A_GroupC_2</vt:lpstr>
      <vt:lpstr>DD_FLU_ODC_A_GroupC_3</vt:lpstr>
      <vt:lpstr>DD_FLU_ODC_A_GroupC_4</vt:lpstr>
      <vt:lpstr>DD_FLU_ODC_A_GroupC_5</vt:lpstr>
      <vt:lpstr>DD_FLU_ODC_A_GroupC_6</vt:lpstr>
      <vt:lpstr>DD_FLU_ODC_A_GroupC_7</vt:lpstr>
      <vt:lpstr>DD_FLU_ODC_A_GroupC_8</vt:lpstr>
      <vt:lpstr>DD_FLU_ODC_A_GroupC_9</vt:lpstr>
      <vt:lpstr>DD_FLU_ODC_A_GroupD_1</vt:lpstr>
      <vt:lpstr>DD_FLU_ODC_A_GroupD_2</vt:lpstr>
      <vt:lpstr>DD_FLU_ODC_A_GroupD_3</vt:lpstr>
      <vt:lpstr>DD_FLU_ODC_A_GroupD_4</vt:lpstr>
      <vt:lpstr>DD_FLU_ODC_A_GroupD_5</vt:lpstr>
      <vt:lpstr>DD_FLU_ODC_A_GroupD_6</vt:lpstr>
      <vt:lpstr>DD_FLU_ODC_A_GroupD_7</vt:lpstr>
      <vt:lpstr>DD_FLU_ODC_A_GroupD_8</vt:lpstr>
      <vt:lpstr>DD_FLU_ODC_A_GroupD_9</vt:lpstr>
      <vt:lpstr>DD_FLU_ODC_A_GroupE_1</vt:lpstr>
      <vt:lpstr>DD_FLU_ODC_A_GroupE_2</vt:lpstr>
      <vt:lpstr>DD_FLU_ODC_A_GroupE_3</vt:lpstr>
      <vt:lpstr>DD_FLU_ODC_A_GroupE_4</vt:lpstr>
      <vt:lpstr>DD_FLU_ODC_A_GroupE_5</vt:lpstr>
      <vt:lpstr>DD_FLU_ODC_A_GroupE_6</vt:lpstr>
      <vt:lpstr>DD_FLU_ODC_A_GroupE_7</vt:lpstr>
      <vt:lpstr>DD_FLU_ODC_A_GroupE_8</vt:lpstr>
      <vt:lpstr>DD_FLU_ODC_A_GroupE_9</vt:lpstr>
      <vt:lpstr>DD_FLU_OTHER_A_CURRENCY</vt:lpstr>
      <vt:lpstr>DD_FLU_OTHER_B_CURRENCY</vt:lpstr>
      <vt:lpstr>DD_FLU_OTHER_C_CURRENCY</vt:lpstr>
      <vt:lpstr>DD_FLU_OTHER_D_CURRENCY</vt:lpstr>
      <vt:lpstr>DD_FLU_OTHER_E_CURRENCY</vt:lpstr>
      <vt:lpstr>DD_FLU_OTHER_F_CURRENCY</vt:lpstr>
      <vt:lpstr>DD_FLU_SD_A_CURRENCY</vt:lpstr>
      <vt:lpstr>DD_FLU_SD_B_CURRENCY</vt:lpstr>
      <vt:lpstr>DD_FLU_SD_C_CURRENCY</vt:lpstr>
      <vt:lpstr>DD_FLU_SD_D_CURRENCY</vt:lpstr>
      <vt:lpstr>DD_FLU_SD_E_CURRENCY</vt:lpstr>
      <vt:lpstr>DD_FLU_SD_F_CURRENCY</vt:lpstr>
      <vt:lpstr>DD_FLU_SOCMOB_2_GROUP_B_1</vt:lpstr>
      <vt:lpstr>DD_FLU_SOCMOB_2_GROUP_B_2</vt:lpstr>
      <vt:lpstr>DD_FLU_SOCMOB_2_GROUP_B_3</vt:lpstr>
      <vt:lpstr>DD_FLU_SOCMOB_2_GROUP_B_4</vt:lpstr>
      <vt:lpstr>DD_FLU_SOCMOB_2_GROUP_B_5</vt:lpstr>
      <vt:lpstr>DD_FLU_SOCMOB_2_GROUP_B_6</vt:lpstr>
      <vt:lpstr>DD_FLU_SOCMOB_2_GROUP_C_1</vt:lpstr>
      <vt:lpstr>DD_FLU_SOCMOB_2_GROUP_C_2</vt:lpstr>
      <vt:lpstr>DD_FLU_SOCMOB_2_GROUP_C_3</vt:lpstr>
      <vt:lpstr>DD_FLU_SOCMOB_2_GROUP_C_4</vt:lpstr>
      <vt:lpstr>DD_FLU_SOCMOB_2_GROUP_C_5</vt:lpstr>
      <vt:lpstr>DD_FLU_SOCMOB_2_GROUP_C_6</vt:lpstr>
      <vt:lpstr>DD_FLU_SOCMOB_2_GROUP_D_1</vt:lpstr>
      <vt:lpstr>DD_FLU_SOCMOB_2_GROUP_D_10</vt:lpstr>
      <vt:lpstr>DD_FLU_SOCMOB_2_GROUP_D_2</vt:lpstr>
      <vt:lpstr>DD_FLU_SOCMOB_2_GROUP_D_3</vt:lpstr>
      <vt:lpstr>DD_FLU_SOCMOB_2_GROUP_D_4</vt:lpstr>
      <vt:lpstr>DD_FLU_SOCMOB_2_GROUP_D_5</vt:lpstr>
      <vt:lpstr>DD_FLU_SOCMOB_2_GROUP_D_6</vt:lpstr>
      <vt:lpstr>DD_FLU_SOCMOB_2_GROUP_D_7</vt:lpstr>
      <vt:lpstr>DD_FLU_SOCMOB_2_GROUP_D_8</vt:lpstr>
      <vt:lpstr>DD_FLU_SOCMOB_2_GROUP_D_9</vt:lpstr>
      <vt:lpstr>DD_FLU_SOCMOB_2_GROUP_E_1</vt:lpstr>
      <vt:lpstr>DD_FLU_SOCMOB_2_GROUP_E_2</vt:lpstr>
      <vt:lpstr>DD_FLU_SOCMOB_2_GROUP_E_3</vt:lpstr>
      <vt:lpstr>DD_FLU_SOCMOB_2_GROUP_E_4</vt:lpstr>
      <vt:lpstr>DD_FLU_SOCMOB_2_GROUP_E_5</vt:lpstr>
      <vt:lpstr>DD_FLU_SOCMOB_2_GROUP_E_6</vt:lpstr>
      <vt:lpstr>DD_FLU_SOCMOB_2_GROUP_E_7</vt:lpstr>
      <vt:lpstr>DD_FLU_SOCMOB_C_GROUP_B_1</vt:lpstr>
      <vt:lpstr>DD_FLU_SOCMOB_C_GROUP_B_2</vt:lpstr>
      <vt:lpstr>DD_FLU_SOCMOB_C_GROUP_B_3</vt:lpstr>
      <vt:lpstr>DD_FLU_SOCMOB_C_GROUP_B_4</vt:lpstr>
      <vt:lpstr>DD_FLU_SOCMOB_C_GROUP_B_5</vt:lpstr>
      <vt:lpstr>DD_FLU_SOCMOB_C_GROUP_B_6</vt:lpstr>
      <vt:lpstr>DD_FLU_SOCMOB_C_GROUP_C_1</vt:lpstr>
      <vt:lpstr>DD_FLU_SOCMOB_C_GROUP_C_2</vt:lpstr>
      <vt:lpstr>DD_FLU_SOCMOB_C_GROUP_C_3</vt:lpstr>
      <vt:lpstr>DD_FLU_SOCMOB_C_GROUP_C_4</vt:lpstr>
      <vt:lpstr>DD_FLU_SOCMOB_C_GROUP_C_5</vt:lpstr>
      <vt:lpstr>DD_FLU_SOCMOB_C_GROUP_C_6</vt:lpstr>
      <vt:lpstr>DD_FLU_SOCMOB_C_GROUP_D_1</vt:lpstr>
      <vt:lpstr>DD_FLU_SOCMOB_C_GROUP_D_10</vt:lpstr>
      <vt:lpstr>DD_FLU_SOCMOB_C_GROUP_D_2</vt:lpstr>
      <vt:lpstr>DD_FLU_SOCMOB_C_GROUP_D_3</vt:lpstr>
      <vt:lpstr>DD_FLU_SOCMOB_C_GROUP_D_4</vt:lpstr>
      <vt:lpstr>DD_FLU_SOCMOB_C_GROUP_D_5</vt:lpstr>
      <vt:lpstr>DD_FLU_SOCMOB_C_GROUP_D_6</vt:lpstr>
      <vt:lpstr>DD_FLU_SOCMOB_C_GROUP_D_7</vt:lpstr>
      <vt:lpstr>DD_FLU_SOCMOB_C_GROUP_D_8</vt:lpstr>
      <vt:lpstr>DD_FLU_SOCMOB_C_GROUP_D_9</vt:lpstr>
      <vt:lpstr>DD_FLU_SOCMOB_C_GROUP_E_1</vt:lpstr>
      <vt:lpstr>DD_FLU_SOCMOB_C_GROUP_E_2</vt:lpstr>
      <vt:lpstr>DD_FLU_SOCMOB_C_GROUP_E_3</vt:lpstr>
      <vt:lpstr>DD_FLU_SOCMOB_C_GROUP_E_4</vt:lpstr>
      <vt:lpstr>DD_FLU_SOCMOB_C_GROUP_E_5</vt:lpstr>
      <vt:lpstr>DD_FLU_SOCMOB_C_GROUP_E_6</vt:lpstr>
      <vt:lpstr>DD_FLU_SOCMOB_C_GROUP_E_7</vt:lpstr>
      <vt:lpstr>DD_FLU_SOCMOB1_GROUP_B_1</vt:lpstr>
      <vt:lpstr>DD_FLU_SOCMOB1_GROUP_B_10</vt:lpstr>
      <vt:lpstr>DD_FLU_SOCMOB1_GROUP_B_11</vt:lpstr>
      <vt:lpstr>DD_FLU_SOCMOB1_GROUP_B_12</vt:lpstr>
      <vt:lpstr>DD_FLU_SOCMOB1_GROUP_B_13</vt:lpstr>
      <vt:lpstr>DD_FLU_SOCMOB1_GROUP_B_14</vt:lpstr>
      <vt:lpstr>DD_FLU_SOCMOB1_GROUP_B_15</vt:lpstr>
      <vt:lpstr>DD_FLU_SOCMOB1_GROUP_B_2</vt:lpstr>
      <vt:lpstr>DD_FLU_SOCMOB1_GROUP_B_3</vt:lpstr>
      <vt:lpstr>DD_FLU_SOCMOB1_GROUP_B_4</vt:lpstr>
      <vt:lpstr>DD_FLU_SOCMOB1_GROUP_B_5</vt:lpstr>
      <vt:lpstr>DD_FLU_SOCMOB1_GROUP_B_6</vt:lpstr>
      <vt:lpstr>DD_FLU_SOCMOB1_GROUP_B_7</vt:lpstr>
      <vt:lpstr>DD_FLU_SOCMOB1_GROUP_B_8</vt:lpstr>
      <vt:lpstr>DD_FLU_SOCMOB1_GROUP_B_9</vt:lpstr>
      <vt:lpstr>DD_FLU_SOCMOB1_GROUP_C_1</vt:lpstr>
      <vt:lpstr>DD_FLU_SOCMOB1_GROUP_C_2</vt:lpstr>
      <vt:lpstr>DD_FLU_SOCMOB1_GROUP_C_3</vt:lpstr>
      <vt:lpstr>DD_FLU_SOCMOB1_GROUP_C_4</vt:lpstr>
      <vt:lpstr>DD_FLU_SOCMOB1_GROUP_C_5</vt:lpstr>
      <vt:lpstr>DD_FLU_SOCMOB1_GROUP_D_1</vt:lpstr>
      <vt:lpstr>DD_FLU_SOCMOB1_GROUP_D_10</vt:lpstr>
      <vt:lpstr>DD_FLU_SOCMOB1_GROUP_D_2</vt:lpstr>
      <vt:lpstr>DD_FLU_SOCMOB1_GROUP_D_3</vt:lpstr>
      <vt:lpstr>DD_FLU_SOCMOB1_GROUP_D_4</vt:lpstr>
      <vt:lpstr>DD_FLU_SOCMOB1_GROUP_D_5</vt:lpstr>
      <vt:lpstr>DD_FLU_SOCMOB1_GROUP_D_6</vt:lpstr>
      <vt:lpstr>DD_FLU_SOCMOB1_GROUP_D_7</vt:lpstr>
      <vt:lpstr>DD_FLU_SOCMOB1_GROUP_D_8</vt:lpstr>
      <vt:lpstr>DD_FLU_SOCMOB1_GROUP_D_9</vt:lpstr>
      <vt:lpstr>DD_FLU_SOCMOB1_GROUP_E_1</vt:lpstr>
      <vt:lpstr>DD_FLU_SOCMOB1_GROUP_E_2</vt:lpstr>
      <vt:lpstr>DD_FLU_SOCMOB1_GROUP_E_3</vt:lpstr>
      <vt:lpstr>DD_FLU_SOCMOB1_GROUP_E_4</vt:lpstr>
      <vt:lpstr>DD_FLU_SOCMOB1_GROUP_E_5</vt:lpstr>
      <vt:lpstr>DD_FLU_SOCMOB1_GROUP_E_6</vt:lpstr>
      <vt:lpstr>DD_FLU_SOCMOB1_GROUP_E_7</vt:lpstr>
      <vt:lpstr>DD_FLU_SOCMOB1_GROUP_E_8</vt:lpstr>
      <vt:lpstr>DD_FLU_SOCMOB1_GROUP_E_9</vt:lpstr>
      <vt:lpstr>DD_FLU_SupMon_C_Allow1</vt:lpstr>
      <vt:lpstr>DD_FLU_SupMon_C_Allow2</vt:lpstr>
      <vt:lpstr>DD_FLU_SupMon_C_Allow3</vt:lpstr>
      <vt:lpstr>DD_FLU_SupMon_C_Allow4</vt:lpstr>
      <vt:lpstr>DD_FLU_SupMon_C_Allow5</vt:lpstr>
      <vt:lpstr>DD_FLU_SupMon_C_Allow6</vt:lpstr>
      <vt:lpstr>DD_FLU_SupMon_C_ODC1</vt:lpstr>
      <vt:lpstr>DD_FLU_SupMon_C_ODC2</vt:lpstr>
      <vt:lpstr>DD_FLU_SupMon_C_ODC3</vt:lpstr>
      <vt:lpstr>DD_FLU_SupMon_C_ODC4</vt:lpstr>
      <vt:lpstr>DD_FLU_SupMon_C_ODC5</vt:lpstr>
      <vt:lpstr>DD_FLU_SupMon_C_ODC6</vt:lpstr>
      <vt:lpstr>DD_FLU_SupMon_C_ODC7</vt:lpstr>
      <vt:lpstr>DD_FLU_SupMon_C_Pers1</vt:lpstr>
      <vt:lpstr>DD_FLU_SupMon_C_Pers2</vt:lpstr>
      <vt:lpstr>DD_FLU_SupMon_C_Pers3</vt:lpstr>
      <vt:lpstr>DD_FLU_SupMon_C_Pers4</vt:lpstr>
      <vt:lpstr>DD_FLU_SupMon_C_Pers5</vt:lpstr>
      <vt:lpstr>DD_FLU_SupMon_C_Pers6</vt:lpstr>
      <vt:lpstr>DD_FLU_SupMon_C_Supp1</vt:lpstr>
      <vt:lpstr>DD_FLU_SupMon_C_Supp10</vt:lpstr>
      <vt:lpstr>DD_FLU_SupMon_C_Supp2</vt:lpstr>
      <vt:lpstr>DD_FLU_SupMon_C_Supp3</vt:lpstr>
      <vt:lpstr>DD_FLU_SupMon_C_Supp4</vt:lpstr>
      <vt:lpstr>DD_FLU_SupMon_C_Supp5</vt:lpstr>
      <vt:lpstr>DD_FLU_SupMon_C_Supp6</vt:lpstr>
      <vt:lpstr>DD_FLU_SupMon_C_Supp7</vt:lpstr>
      <vt:lpstr>DD_FLU_SupMon_C_Supp8</vt:lpstr>
      <vt:lpstr>DD_FLU_SupMon_C_Supp9</vt:lpstr>
      <vt:lpstr>DD_FLU_SUPV_A_CURRENCY</vt:lpstr>
      <vt:lpstr>DD_FLU_SUPV_B_CURRENCY</vt:lpstr>
      <vt:lpstr>DD_FLU_SUPV_C_CURRENCY</vt:lpstr>
      <vt:lpstr>DD_FLU_TRAIN_A_CURRENCY</vt:lpstr>
      <vt:lpstr>DD_FLU_TRAIN_B_CURRENCY</vt:lpstr>
      <vt:lpstr>DD_FLU_TRAIN_C_CURRENCY</vt:lpstr>
      <vt:lpstr>DD_FLU_TRAIN_C_GROUP_B_1</vt:lpstr>
      <vt:lpstr>DD_FLU_TRAIN_C_GROUP_B_2</vt:lpstr>
      <vt:lpstr>DD_FLU_TRAIN_C_GROUP_B_3</vt:lpstr>
      <vt:lpstr>DD_FLU_TRAIN_C_GROUP_B_4</vt:lpstr>
      <vt:lpstr>DD_FLU_TRAIN_C_GROUP_B_5</vt:lpstr>
      <vt:lpstr>DD_FLU_TRAIN_C_GROUP_B_6</vt:lpstr>
      <vt:lpstr>DD_FLU_TRAIN_C_GROUP_C_1</vt:lpstr>
      <vt:lpstr>DD_FLU_TRAIN_C_GROUP_C_2</vt:lpstr>
      <vt:lpstr>DD_FLU_TRAIN_C_GROUP_C_3</vt:lpstr>
      <vt:lpstr>DD_FLU_TRAIN_C_GROUP_C_4</vt:lpstr>
      <vt:lpstr>DD_FLU_TRAIN_C_GROUP_C_5</vt:lpstr>
      <vt:lpstr>DD_FLU_TRAIN_C_GROUP_C_6</vt:lpstr>
      <vt:lpstr>DD_FLU_TRAIN_C_GROUP_D_1</vt:lpstr>
      <vt:lpstr>DD_FLU_TRAIN_C_GROUP_D_10</vt:lpstr>
      <vt:lpstr>DD_FLU_TRAIN_C_GROUP_D_2</vt:lpstr>
      <vt:lpstr>DD_FLU_TRAIN_C_GROUP_D_3</vt:lpstr>
      <vt:lpstr>DD_FLU_TRAIN_C_GROUP_D_4</vt:lpstr>
      <vt:lpstr>DD_FLU_TRAIN_C_GROUP_D_5</vt:lpstr>
      <vt:lpstr>DD_FLU_TRAIN_C_GROUP_D_6</vt:lpstr>
      <vt:lpstr>DD_FLU_TRAIN_C_GROUP_D_7</vt:lpstr>
      <vt:lpstr>DD_FLU_TRAIN_C_GROUP_D_8</vt:lpstr>
      <vt:lpstr>DD_FLU_TRAIN_C_GROUP_D_9</vt:lpstr>
      <vt:lpstr>DD_FLU_TRAIN_C_GROUP_E_1</vt:lpstr>
      <vt:lpstr>DD_FLU_TRAIN_C_GROUP_E_2</vt:lpstr>
      <vt:lpstr>DD_FLU_TRAIN_C_GROUP_E_3</vt:lpstr>
      <vt:lpstr>DD_FLU_TRAIN_C_GROUP_E_4</vt:lpstr>
      <vt:lpstr>DD_FLU_TRAIN_C_GROUP_E_5</vt:lpstr>
      <vt:lpstr>DD_FLU_TRAIN_C_GROUP_E_6</vt:lpstr>
      <vt:lpstr>DD_FLU_TRAIN_C_GROUP_E_7</vt:lpstr>
      <vt:lpstr>DD_FLU_TRAIN_GROUP_B_1</vt:lpstr>
      <vt:lpstr>DD_FLU_TRAIN_GROUP_B_10</vt:lpstr>
      <vt:lpstr>DD_FLU_TRAIN_GROUP_B_11</vt:lpstr>
      <vt:lpstr>DD_FLU_TRAIN_GROUP_B_12</vt:lpstr>
      <vt:lpstr>DD_FLU_TRAIN_GROUP_B_13</vt:lpstr>
      <vt:lpstr>DD_FLU_TRAIN_GROUP_B_14</vt:lpstr>
      <vt:lpstr>DD_FLU_TRAIN_GROUP_B_15</vt:lpstr>
      <vt:lpstr>DD_FLU_TRAIN_GROUP_B_2</vt:lpstr>
      <vt:lpstr>DD_FLU_TRAIN_GROUP_B_3</vt:lpstr>
      <vt:lpstr>DD_FLU_TRAIN_GROUP_B_4</vt:lpstr>
      <vt:lpstr>DD_FLU_TRAIN_GROUP_B_5</vt:lpstr>
      <vt:lpstr>DD_FLU_TRAIN_GROUP_B_6</vt:lpstr>
      <vt:lpstr>DD_FLU_TRAIN_GROUP_B_7</vt:lpstr>
      <vt:lpstr>DD_FLU_TRAIN_GROUP_B_8</vt:lpstr>
      <vt:lpstr>DD_FLU_TRAIN_GROUP_B_9</vt:lpstr>
      <vt:lpstr>DD_FLU_TRAIN_GROUP_C_1</vt:lpstr>
      <vt:lpstr>DD_FLU_TRAIN_GROUP_C_2</vt:lpstr>
      <vt:lpstr>DD_FLU_TRAIN_GROUP_C_3</vt:lpstr>
      <vt:lpstr>DD_FLU_TRAIN_GROUP_C_4</vt:lpstr>
      <vt:lpstr>DD_FLU_TRAIN_GROUP_C_5</vt:lpstr>
      <vt:lpstr>DD_FLU_TRAIN_GROUP_D_1</vt:lpstr>
      <vt:lpstr>DD_FLU_TRAIN_GROUP_D_10</vt:lpstr>
      <vt:lpstr>DD_FLU_TRAIN_GROUP_D_2</vt:lpstr>
      <vt:lpstr>DD_FLU_TRAIN_GROUP_D_3</vt:lpstr>
      <vt:lpstr>DD_FLU_TRAIN_GROUP_D_4</vt:lpstr>
      <vt:lpstr>DD_FLU_TRAIN_GROUP_D_5</vt:lpstr>
      <vt:lpstr>DD_FLU_TRAIN_GROUP_D_6</vt:lpstr>
      <vt:lpstr>DD_FLU_TRAIN_GROUP_D_7</vt:lpstr>
      <vt:lpstr>DD_FLU_TRAIN_GROUP_D_8</vt:lpstr>
      <vt:lpstr>DD_FLU_TRAIN_GROUP_D_9</vt:lpstr>
      <vt:lpstr>DD_FLU_TRAIN_GROUP_E_1</vt:lpstr>
      <vt:lpstr>DD_FLU_TRAIN_GROUP_E_2</vt:lpstr>
      <vt:lpstr>DD_FLU_TRAIN_GROUP_E_3</vt:lpstr>
      <vt:lpstr>DD_FLU_TRAIN_GROUP_E_4</vt:lpstr>
      <vt:lpstr>DD_FLU_TRAIN_GROUP_E_5</vt:lpstr>
      <vt:lpstr>DD_FLU_TRAIN_GROUP_E_6</vt:lpstr>
      <vt:lpstr>DD_FLU_TRAIN_GROUP_E_7</vt:lpstr>
      <vt:lpstr>DD_FLU_TRAIN_GROUP_E_8</vt:lpstr>
      <vt:lpstr>DD_FLU_TRAIN_GROUP_E_9</vt:lpstr>
      <vt:lpstr>DD_FLU_TRAIN2_GROUP_B_1</vt:lpstr>
      <vt:lpstr>DD_FLU_TRAIN2_GROUP_B_2</vt:lpstr>
      <vt:lpstr>DD_FLU_TRAIN2_GROUP_B_3</vt:lpstr>
      <vt:lpstr>DD_FLU_TRAIN2_GROUP_B_4</vt:lpstr>
      <vt:lpstr>DD_FLU_TRAIN2_GROUP_B_5</vt:lpstr>
      <vt:lpstr>DD_FLU_TRAIN2_GROUP_B_6</vt:lpstr>
      <vt:lpstr>DD_FLU_TRAIN2_GROUP_C_1</vt:lpstr>
      <vt:lpstr>DD_FLU_TRAIN2_GROUP_C_2</vt:lpstr>
      <vt:lpstr>DD_FLU_TRAIN2_GROUP_C_3</vt:lpstr>
      <vt:lpstr>DD_FLU_TRAIN2_GROUP_C_4</vt:lpstr>
      <vt:lpstr>DD_FLU_TRAIN2_GROUP_C_5</vt:lpstr>
      <vt:lpstr>DD_FLU_TRAIN2_GROUP_C_6</vt:lpstr>
      <vt:lpstr>DD_FLU_TRAIN2_GROUP_D_1</vt:lpstr>
      <vt:lpstr>DD_FLU_TRAIN2_GROUP_D_10</vt:lpstr>
      <vt:lpstr>DD_FLU_TRAIN2_GROUP_D_2</vt:lpstr>
      <vt:lpstr>DD_FLU_TRAIN2_GROUP_D_3</vt:lpstr>
      <vt:lpstr>DD_FLU_TRAIN2_GROUP_D_4</vt:lpstr>
      <vt:lpstr>DD_FLU_TRAIN2_GROUP_D_5</vt:lpstr>
      <vt:lpstr>DD_FLU_TRAIN2_GROUP_D_6</vt:lpstr>
      <vt:lpstr>DD_FLU_TRAIN2_GROUP_D_7</vt:lpstr>
      <vt:lpstr>DD_FLU_TRAIN2_GROUP_D_8</vt:lpstr>
      <vt:lpstr>DD_FLU_TRAIN2_GROUP_D_9</vt:lpstr>
      <vt:lpstr>DD_FLU_TRAIN2_GROUP_E_1</vt:lpstr>
      <vt:lpstr>DD_FLU_TRAIN2_GROUP_E_2</vt:lpstr>
      <vt:lpstr>DD_FLU_TRAIN2_GROUP_E_3</vt:lpstr>
      <vt:lpstr>DD_FLU_TRAIN2_GROUP_E_4</vt:lpstr>
      <vt:lpstr>DD_FLU_TRAIN2_GROUP_E_5</vt:lpstr>
      <vt:lpstr>DD_FLU_TRAIN2_GROUP_E_6</vt:lpstr>
      <vt:lpstr>DD_FLU_TRAIN2_GROUP_E_7</vt:lpstr>
      <vt:lpstr>DD_TS_Fin_Yr_End_Mth</vt:lpstr>
      <vt:lpstr>DD_TS_Model_Start_Mth</vt:lpstr>
      <vt:lpstr>Err_Chks_Msg</vt:lpstr>
      <vt:lpstr>Err_Chks_Ttl_Areas</vt:lpstr>
      <vt:lpstr>FLU_BASELINE_XCHANGE_RATE_1</vt:lpstr>
      <vt:lpstr>FLU_BASELINE_XCHANGE_RATE_2</vt:lpstr>
      <vt:lpstr>FLU_Capital_Cost_Items</vt:lpstr>
      <vt:lpstr>FLU_DAYS_PER_MONTH</vt:lpstr>
      <vt:lpstr>FLU_HOURS_PER_MONTH</vt:lpstr>
      <vt:lpstr>FLU_MINUTES_PER_MONTH</vt:lpstr>
      <vt:lpstr>FLU_XCHANGE_YR_BASELINE</vt:lpstr>
      <vt:lpstr>FLU_XCHANGE_YR1</vt:lpstr>
      <vt:lpstr>HL_Alt_Chk</vt:lpstr>
      <vt:lpstr>HL_Cover</vt:lpstr>
      <vt:lpstr>HL_Err_Chk</vt:lpstr>
      <vt:lpstr>HL_FLU_Ass</vt:lpstr>
      <vt:lpstr>HL_FLU_Ass_F</vt:lpstr>
      <vt:lpstr>HL_FLU_Campaign_Event_A_Worksheet</vt:lpstr>
      <vt:lpstr>HL_FLU_Cold_Chain_Expansion</vt:lpstr>
      <vt:lpstr>HL_FLU_Cost_Ingredients_List</vt:lpstr>
      <vt:lpstr>HL_FLU_Detailed_Distribution_A</vt:lpstr>
      <vt:lpstr>HL_FLU_Detailed_Distribution_B</vt:lpstr>
      <vt:lpstr>HL_FLU_Detailed_DIstribution_C</vt:lpstr>
      <vt:lpstr>HL_FLU_Detailed_Other_Activities</vt:lpstr>
      <vt:lpstr>HL_FLU_Distribution</vt:lpstr>
      <vt:lpstr>HL_FLU_Division_Level_1</vt:lpstr>
      <vt:lpstr>HL_FLU_Division_Level_2</vt:lpstr>
      <vt:lpstr>HL_FLU_Division_Level_3</vt:lpstr>
      <vt:lpstr>HL_FLU_Economic_Rates_Assumptions_Annual</vt:lpstr>
      <vt:lpstr>HL_FLU_Itemized_Train_A</vt:lpstr>
      <vt:lpstr>HL_FLU_Itemized_Train_B_Assumptions</vt:lpstr>
      <vt:lpstr>HL_FLU_Itemized_Train_C_Assumptions</vt:lpstr>
      <vt:lpstr>HL_FLU_Label_Location_Name_1</vt:lpstr>
      <vt:lpstr>HL_FLU_Micro_A_Assumptions</vt:lpstr>
      <vt:lpstr>HL_FLU_Micro_B_Detailed</vt:lpstr>
      <vt:lpstr>HL_FLU_Micro_C_Detailed</vt:lpstr>
      <vt:lpstr>HL_FLU_Other_Activities</vt:lpstr>
      <vt:lpstr>HL_FLU_Other_Capital_Acquisition_A</vt:lpstr>
      <vt:lpstr>HL_FLU_Other_Capital_Acquisition_B</vt:lpstr>
      <vt:lpstr>HL_FLU_Other_Capital_Acquisition_C</vt:lpstr>
      <vt:lpstr>HL_FLU_Other_Capital_Activity_Detail_A</vt:lpstr>
      <vt:lpstr>HL_FLU_Other_Capital_Activity_Detail_B</vt:lpstr>
      <vt:lpstr>HL_FLU_Other_Capital_Activity_Detail_C</vt:lpstr>
      <vt:lpstr>HL_FLU_Other_Recurrent_Activity_1</vt:lpstr>
      <vt:lpstr>HL_FLU_Other_Recurrent_Activity_B</vt:lpstr>
      <vt:lpstr>HL_FLU_Other_Recurrent_Activity_C</vt:lpstr>
      <vt:lpstr>HL_FLU_Other_Recurrent_Activity_Detail_A</vt:lpstr>
      <vt:lpstr>HL_FLU_Other_Recurrent_Activity_Detail_B</vt:lpstr>
      <vt:lpstr>HL_FLU_Other_Recurrent_Activity_Detail_C</vt:lpstr>
      <vt:lpstr>HL_FLU_Preparation_Outputs</vt:lpstr>
      <vt:lpstr>HL_FLU_Procurement_Activities_Outputs_and_Source_Distribution</vt:lpstr>
      <vt:lpstr>HL_FLU_Recurrent_Cost_Items</vt:lpstr>
      <vt:lpstr>HL_FLU_Reference_Data</vt:lpstr>
      <vt:lpstr>HL_FLU_Routine_Vacc_Cost_Ass</vt:lpstr>
      <vt:lpstr>HL_FLU_SD_1a</vt:lpstr>
      <vt:lpstr>HL_FLU_SD_1b</vt:lpstr>
      <vt:lpstr>HL_FLU_SD_1c</vt:lpstr>
      <vt:lpstr>HL_FLU_SD_Routine_1_Detailed</vt:lpstr>
      <vt:lpstr>HL_FLU_SD_Routine_1C_Detailed</vt:lpstr>
      <vt:lpstr>HL_FLU_SD_Routine_B_Detailed</vt:lpstr>
      <vt:lpstr>HL_FLU_SD_Routine_C_Detailed</vt:lpstr>
      <vt:lpstr>HL_FLU_SD_SIA_2a</vt:lpstr>
      <vt:lpstr>HL_FLU_SD_SIA_2b</vt:lpstr>
      <vt:lpstr>HL_FLU_SD_SIA_2c</vt:lpstr>
      <vt:lpstr>HL_FLU_SD_SIA_B_Detailed</vt:lpstr>
      <vt:lpstr>HL_FLU_SD_SIA_C_Detailed</vt:lpstr>
      <vt:lpstr>HL_FLU_SME_Detailed_A</vt:lpstr>
      <vt:lpstr>HL_FLU_SME_Detailed_B</vt:lpstr>
      <vt:lpstr>HL_FLU_SME_Detailed_C</vt:lpstr>
      <vt:lpstr>HL_FLU_Social_Mob_A</vt:lpstr>
      <vt:lpstr>HL_FLU_Social_Mob_B</vt:lpstr>
      <vt:lpstr>HL_FLU_Social_Mob_C</vt:lpstr>
      <vt:lpstr>HL_FLU_Training_General_A</vt:lpstr>
      <vt:lpstr>HL_FLU_Training_General_B</vt:lpstr>
      <vt:lpstr>HL_Home</vt:lpstr>
      <vt:lpstr>HL_HOME2</vt:lpstr>
      <vt:lpstr>HL_Sens_Chk</vt:lpstr>
      <vt:lpstr>HL_TS_Time_Series_Assumptions</vt:lpstr>
      <vt:lpstr>Incremental_Costs_Report</vt:lpstr>
      <vt:lpstr>Lbl_Curr_Intl_ABBR</vt:lpstr>
      <vt:lpstr>Lbl_Curr_Local_ABBR</vt:lpstr>
      <vt:lpstr>Lbl_Tgt_Group_1</vt:lpstr>
      <vt:lpstr>Lbl_Tgt_Group_2</vt:lpstr>
      <vt:lpstr>Lbl_Tgt_Group_3</vt:lpstr>
      <vt:lpstr>Lbl_Tgt_Group_4</vt:lpstr>
      <vt:lpstr>LU_FLU_Admin_Div_Adj</vt:lpstr>
      <vt:lpstr>LU_FLU_Admin_Div_Plural</vt:lpstr>
      <vt:lpstr>LU_FLU_Admin_Divisions</vt:lpstr>
      <vt:lpstr>LU_FLU_Baseline_Exchange_Rate</vt:lpstr>
      <vt:lpstr>LU_FLU_CAP_COST_CATEGORIES</vt:lpstr>
      <vt:lpstr>LU_FLU_Cap_Equip_Acquis</vt:lpstr>
      <vt:lpstr>LU_FLU_CAP_PRICES_GROUP_A</vt:lpstr>
      <vt:lpstr>LU_FLU_CAP_PRICES_GROUP_B</vt:lpstr>
      <vt:lpstr>LU_FLU_CAP_PRICES_GROUP_C</vt:lpstr>
      <vt:lpstr>LU_FLU_CAP_PRICES_GROUP_D</vt:lpstr>
      <vt:lpstr>LU_FLU_Cold_Chain</vt:lpstr>
      <vt:lpstr>LU_FLU_Cost_Type_Fin_Econ</vt:lpstr>
      <vt:lpstr>LU_FLU_Cost_Type_Fin_Econ_Abbr</vt:lpstr>
      <vt:lpstr>LU_FLU_country</vt:lpstr>
      <vt:lpstr>LU_FLU_Curr_Code</vt:lpstr>
      <vt:lpstr>LU_FLU_Currencies</vt:lpstr>
      <vt:lpstr>LU_FLU_Distribution_Activities</vt:lpstr>
      <vt:lpstr>LU_FLU_FIN_ECON</vt:lpstr>
      <vt:lpstr>LU_FLU_hemisphere</vt:lpstr>
      <vt:lpstr>LU_FLU_Other_Activities</vt:lpstr>
      <vt:lpstr>LU_FLU_Personnel_Unit_Cost_Categories</vt:lpstr>
      <vt:lpstr>LU_FLU_Prepared_Yrs</vt:lpstr>
      <vt:lpstr>LU_FLU_RECC_COST_CATEGORIES</vt:lpstr>
      <vt:lpstr>LU_FLU_RECC_PRICES_GROUP_A</vt:lpstr>
      <vt:lpstr>LU_FLU_RECC_PRICES_GROUP_C</vt:lpstr>
      <vt:lpstr>LU_FLU_RECC_PRICES_GROUP_D</vt:lpstr>
      <vt:lpstr>LU_FLU_RECC_PRICES_GROUP_E</vt:lpstr>
      <vt:lpstr>LU_FLU_Recurrent_Cost_Line_Items</vt:lpstr>
      <vt:lpstr>LU_FLU_Routine_Immun_HW</vt:lpstr>
      <vt:lpstr>LU_FLU_SOC_MOB_AND_COMM</vt:lpstr>
      <vt:lpstr>LU_FLU_Special_Immuni_Actv_HW</vt:lpstr>
      <vt:lpstr>LU_FLU_Supervision_Activities</vt:lpstr>
      <vt:lpstr>LU_FLU_Target_Populations</vt:lpstr>
      <vt:lpstr>LU_FLU_TargetPopGroups</vt:lpstr>
      <vt:lpstr>LU_FLU_Time_Categories</vt:lpstr>
      <vt:lpstr>LU_FLU_Training</vt:lpstr>
      <vt:lpstr>LU_FLU_Vacc_Inj_Supplies</vt:lpstr>
      <vt:lpstr>LU_FLU_VACC_PREQUAL</vt:lpstr>
      <vt:lpstr>LU_FLU_Vaccine</vt:lpstr>
      <vt:lpstr>LU_FLU_Yes_No</vt:lpstr>
      <vt:lpstr>LU_TS_Model_Start_Mth</vt:lpstr>
      <vt:lpstr>LU_TS_Mth_Days</vt:lpstr>
      <vt:lpstr>LU_TS_Mth_Names</vt:lpstr>
      <vt:lpstr>Model_Name</vt:lpstr>
      <vt:lpstr>MODEL_VERSION</vt:lpstr>
      <vt:lpstr>'1'!Print_Area</vt:lpstr>
      <vt:lpstr>'2'!Print_Area</vt:lpstr>
      <vt:lpstr>'3'!Print_Area</vt:lpstr>
      <vt:lpstr>About_Flu_BO!Print_Area</vt:lpstr>
      <vt:lpstr>About_Flutool_P_MS!Print_Area</vt:lpstr>
      <vt:lpstr>App_SC!Print_Area</vt:lpstr>
      <vt:lpstr>Chks_BO!Print_Area</vt:lpstr>
      <vt:lpstr>Chks_SSC!Print_Area</vt:lpstr>
      <vt:lpstr>COLD!Print_Area</vt:lpstr>
      <vt:lpstr>Contents!Print_Area</vt:lpstr>
      <vt:lpstr>Cost_Ingredients!Print_Area</vt:lpstr>
      <vt:lpstr>Cover!Print_Area</vt:lpstr>
      <vt:lpstr>DASHBOARD!Print_Area</vt:lpstr>
      <vt:lpstr>DISTRIB!Print_Area</vt:lpstr>
      <vt:lpstr>DISTRIBUTION_BA!Print_Area</vt:lpstr>
      <vt:lpstr>Doc_SSC!Print_Area</vt:lpstr>
      <vt:lpstr>Financial!Print_Area</vt:lpstr>
      <vt:lpstr>FINANCING!Print_Area</vt:lpstr>
      <vt:lpstr>FLU_LU!Print_Area</vt:lpstr>
      <vt:lpstr>Graphs!Print_Area</vt:lpstr>
      <vt:lpstr>Home!Print_Area</vt:lpstr>
      <vt:lpstr>IEC!Print_Area</vt:lpstr>
      <vt:lpstr>INCREMENTAL!Print_Area</vt:lpstr>
      <vt:lpstr>Labels!Print_Area</vt:lpstr>
      <vt:lpstr>LU_SSC!Print_Area</vt:lpstr>
      <vt:lpstr>MICRO!Print_Area</vt:lpstr>
      <vt:lpstr>MICROPLANNING_BA!Print_Area</vt:lpstr>
      <vt:lpstr>Other!Print_Area</vt:lpstr>
      <vt:lpstr>OTHER_BA!Print_Area</vt:lpstr>
      <vt:lpstr>PROCUR!Print_Area</vt:lpstr>
      <vt:lpstr>Reference_Data_BA!Print_Area</vt:lpstr>
      <vt:lpstr>SD_IMM!Print_Area</vt:lpstr>
      <vt:lpstr>SD_ROUTINE_BA!Print_Area</vt:lpstr>
      <vt:lpstr>SD_SIA_BA!Print_Area</vt:lpstr>
      <vt:lpstr>'SD-Analysis'!Print_Area</vt:lpstr>
      <vt:lpstr>SOC_MOB_BA!Print_Area</vt:lpstr>
      <vt:lpstr>SUPERV_BA!Print_Area</vt:lpstr>
      <vt:lpstr>SUPV!Print_Area</vt:lpstr>
      <vt:lpstr>TGT_POPS!Print_Area</vt:lpstr>
      <vt:lpstr>Time_Period!Print_Area</vt:lpstr>
      <vt:lpstr>TRAIN!Print_Area</vt:lpstr>
      <vt:lpstr>TRAINING_BA!Print_Area</vt:lpstr>
      <vt:lpstr>TS_LU!Print_Area</vt:lpstr>
      <vt:lpstr>About_Flu_BO!Print_Titles</vt:lpstr>
      <vt:lpstr>Chks_BO!Print_Titles</vt:lpstr>
      <vt:lpstr>COLD!Print_Titles</vt:lpstr>
      <vt:lpstr>Contents!Print_Titles</vt:lpstr>
      <vt:lpstr>Cost_Ingredients!Print_Titles</vt:lpstr>
      <vt:lpstr>DISTRIB!Print_Titles</vt:lpstr>
      <vt:lpstr>DISTRIBUTION_BA!Print_Titles</vt:lpstr>
      <vt:lpstr>Financial!Print_Titles</vt:lpstr>
      <vt:lpstr>FLU_LU!Print_Titles</vt:lpstr>
      <vt:lpstr>IEC!Print_Titles</vt:lpstr>
      <vt:lpstr>Labels!Print_Titles</vt:lpstr>
      <vt:lpstr>MICRO!Print_Titles</vt:lpstr>
      <vt:lpstr>MICROPLANNING_BA!Print_Titles</vt:lpstr>
      <vt:lpstr>Other!Print_Titles</vt:lpstr>
      <vt:lpstr>OTHER_BA!Print_Titles</vt:lpstr>
      <vt:lpstr>PROCUR!Print_Titles</vt:lpstr>
      <vt:lpstr>Reference_Data_BA!Print_Titles</vt:lpstr>
      <vt:lpstr>SD_IMM!Print_Titles</vt:lpstr>
      <vt:lpstr>SD_ROUTINE_BA!Print_Titles</vt:lpstr>
      <vt:lpstr>SD_SIA_BA!Print_Titles</vt:lpstr>
      <vt:lpstr>'SD-Analysis'!Print_Titles</vt:lpstr>
      <vt:lpstr>SOC_MOB_BA!Print_Titles</vt:lpstr>
      <vt:lpstr>SUPERV_BA!Print_Titles</vt:lpstr>
      <vt:lpstr>SUPV!Print_Titles</vt:lpstr>
      <vt:lpstr>TGT_POPS!Print_Titles</vt:lpstr>
      <vt:lpstr>Time_Period!Print_Titles</vt:lpstr>
      <vt:lpstr>TRAIN!Print_Titles</vt:lpstr>
      <vt:lpstr>TRAINING_BA!Print_Titles</vt:lpstr>
      <vt:lpstr>SELECT_CURRENCY_DASHBOARD</vt:lpstr>
      <vt:lpstr>Sens_Chks_Msg</vt:lpstr>
      <vt:lpstr>Sens_Chks_Ttl_Areas</vt:lpstr>
      <vt:lpstr>Service_Delivery_Analysis</vt:lpstr>
      <vt:lpstr>TS_Days_In_Wk</vt:lpstr>
      <vt:lpstr>TS_End_Date</vt:lpstr>
      <vt:lpstr>TS_First_Fin_Yr</vt:lpstr>
      <vt:lpstr>TS_Halves</vt:lpstr>
      <vt:lpstr>TS_Halves_In_Yr</vt:lpstr>
      <vt:lpstr>TS_Hrs_In_Day</vt:lpstr>
      <vt:lpstr>TS_Mins_In_Hr</vt:lpstr>
      <vt:lpstr>TS_Mths_In_Half</vt:lpstr>
      <vt:lpstr>TS_Mths_In_Qtr</vt:lpstr>
      <vt:lpstr>TS_Mths_In_Yr</vt:lpstr>
      <vt:lpstr>TS_Part_Per_ID</vt:lpstr>
      <vt:lpstr>TS_Qtrs</vt:lpstr>
      <vt:lpstr>TS_Qtrs_In_Half</vt:lpstr>
      <vt:lpstr>TS_Qtrs_In_Yr</vt:lpstr>
      <vt:lpstr>TS_Secs_In_Min</vt:lpstr>
      <vt:lpstr>TS_Start_Date</vt:lpstr>
      <vt:lpstr>TS_Term</vt:lpstr>
      <vt:lpstr>TS_Yrs</vt:lpstr>
    </vt:vector>
  </TitlesOfParts>
  <Manager>Winthrop Morgan</Manager>
  <Company>Levin &amp; Morgan,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Seasonal Influenza Immunization Costing Tool</dc:title>
  <dc:subject>Influenza</dc:subject>
  <dc:creator>Winthrop Morgan, MPH;Ann Levin;PhD</dc:creator>
  <cp:keywords>Costing Tool</cp:keywords>
  <cp:lastModifiedBy>Christina Banks</cp:lastModifiedBy>
  <cp:lastPrinted>2017-06-12T16:48:58Z</cp:lastPrinted>
  <dcterms:created xsi:type="dcterms:W3CDTF">2016-06-13T16:08:34Z</dcterms:created>
  <dcterms:modified xsi:type="dcterms:W3CDTF">2023-11-08T18:16:20Z</dcterms:modified>
  <cp:contentStatus>Draft - Alpha</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XRCK">
    <vt:lpwstr>53|9526821,1|0,52|4616993,51|4204747,49|6697881,55|7929855,11|10092543,56|16777215</vt:lpwstr>
  </property>
  <property fmtid="{D5CDD505-2E9C-101B-9397-08002B2CF9AE}" pid="3" name="TBXBSCK">
    <vt:lpwstr>CO-4142|-4142/COC-4142|-4142/CS1-4142|-4142/S1S2-4142|-4142/S2BA-4142|-4142/BATA-4142|-4142/TABO-4142|-4142/BOTO-4142|-4142/TOLU-4142|-4142/LUMS-4142|-4142/MSCH-4142|-4142/CH</vt:lpwstr>
  </property>
  <property fmtid="{D5CDD505-2E9C-101B-9397-08002B2CF9AE}" pid="4" name="MSIP_Label_4ebf9569-1bac-4dd4-8253-371ebfda3dfd_Enabled">
    <vt:lpwstr>true</vt:lpwstr>
  </property>
  <property fmtid="{D5CDD505-2E9C-101B-9397-08002B2CF9AE}" pid="5" name="MSIP_Label_4ebf9569-1bac-4dd4-8253-371ebfda3dfd_SetDate">
    <vt:lpwstr>2023-11-08T18:15:50Z</vt:lpwstr>
  </property>
  <property fmtid="{D5CDD505-2E9C-101B-9397-08002B2CF9AE}" pid="6" name="MSIP_Label_4ebf9569-1bac-4dd4-8253-371ebfda3dfd_Method">
    <vt:lpwstr>Standard</vt:lpwstr>
  </property>
  <property fmtid="{D5CDD505-2E9C-101B-9397-08002B2CF9AE}" pid="7" name="MSIP_Label_4ebf9569-1bac-4dd4-8253-371ebfda3dfd_Name">
    <vt:lpwstr>No label</vt:lpwstr>
  </property>
  <property fmtid="{D5CDD505-2E9C-101B-9397-08002B2CF9AE}" pid="8" name="MSIP_Label_4ebf9569-1bac-4dd4-8253-371ebfda3dfd_SiteId">
    <vt:lpwstr>cf18f47b-7e4a-4ac0-9e92-c216a1528ccc</vt:lpwstr>
  </property>
  <property fmtid="{D5CDD505-2E9C-101B-9397-08002B2CF9AE}" pid="9" name="MSIP_Label_4ebf9569-1bac-4dd4-8253-371ebfda3dfd_ActionId">
    <vt:lpwstr>883ddd89-1697-403a-831a-769e025558a0</vt:lpwstr>
  </property>
  <property fmtid="{D5CDD505-2E9C-101B-9397-08002B2CF9AE}" pid="10" name="MSIP_Label_4ebf9569-1bac-4dd4-8253-371ebfda3dfd_ContentBits">
    <vt:lpwstr>0</vt:lpwstr>
  </property>
  <property fmtid="{D5CDD505-2E9C-101B-9397-08002B2CF9AE}" pid="11" name="ContentTypeId">
    <vt:lpwstr>0x010100303CBCB931EE5B41B7DC5B397BC983C8</vt:lpwstr>
  </property>
</Properties>
</file>